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7055" windowHeight="9390" tabRatio="1000" firstSheet="3" activeTab="12"/>
  </bookViews>
  <sheets>
    <sheet name="Табл№1" sheetId="1" r:id="rId1"/>
    <sheet name="Табл№ 2" sheetId="2" r:id="rId2"/>
    <sheet name="Табл№ 3" sheetId="3" r:id="rId3"/>
    <sheet name="Табл№4" sheetId="6" r:id="rId4"/>
    <sheet name="Табл№5" sheetId="7" r:id="rId5"/>
    <sheet name="Табл№6" sheetId="8" r:id="rId6"/>
    <sheet name="Табл№7" sheetId="9" r:id="rId7"/>
    <sheet name="Табл№8" sheetId="10" r:id="rId8"/>
    <sheet name="Табл№9" sheetId="11" r:id="rId9"/>
    <sheet name="Табл№10" sheetId="12" r:id="rId10"/>
    <sheet name="Табл№11" sheetId="13" r:id="rId11"/>
    <sheet name="Табл№12" sheetId="14" r:id="rId12"/>
    <sheet name="Табл№13" sheetId="15" r:id="rId13"/>
    <sheet name="Табл№14" sheetId="16" r:id="rId14"/>
    <sheet name="расчеты" sheetId="17" r:id="rId15"/>
    <sheet name="смета" sheetId="19" r:id="rId16"/>
    <sheet name="продажи" sheetId="20" r:id="rId17"/>
  </sheets>
  <calcPr calcId="125725"/>
</workbook>
</file>

<file path=xl/calcChain.xml><?xml version="1.0" encoding="utf-8"?>
<calcChain xmlns="http://schemas.openxmlformats.org/spreadsheetml/2006/main">
  <c r="C38" i="19"/>
  <c r="C34"/>
  <c r="D19"/>
  <c r="C19"/>
  <c r="B19"/>
  <c r="D12"/>
  <c r="C12"/>
  <c r="B12"/>
  <c r="D11"/>
  <c r="C11"/>
  <c r="B11"/>
  <c r="D10"/>
  <c r="C10"/>
  <c r="B10"/>
  <c r="D9"/>
  <c r="C9"/>
  <c r="B9"/>
  <c r="D7"/>
  <c r="D17" s="1"/>
  <c r="D22" s="1"/>
  <c r="C7"/>
  <c r="C17" s="1"/>
  <c r="C22" s="1"/>
  <c r="B7"/>
  <c r="B26" s="1"/>
  <c r="C23" l="1"/>
  <c r="C24" s="1"/>
  <c r="C25" s="1"/>
  <c r="D23"/>
  <c r="D24" s="1"/>
  <c r="D25" s="1"/>
  <c r="B17"/>
  <c r="B22" s="1"/>
  <c r="B23" l="1"/>
  <c r="B24" s="1"/>
  <c r="B25" l="1"/>
  <c r="A1"/>
  <c r="F54" i="17" l="1"/>
  <c r="F55" s="1"/>
  <c r="C82"/>
  <c r="C79"/>
  <c r="C76"/>
  <c r="C77"/>
  <c r="C78"/>
  <c r="C80"/>
  <c r="C81"/>
  <c r="C83"/>
  <c r="D44"/>
  <c r="E44" s="1"/>
  <c r="F44" s="1"/>
  <c r="D42"/>
  <c r="E42" s="1"/>
  <c r="D43"/>
  <c r="E43" s="1"/>
  <c r="D41"/>
  <c r="E41" s="1"/>
  <c r="F41" s="1"/>
  <c r="B42"/>
  <c r="F42" s="1"/>
  <c r="B43"/>
  <c r="F43" s="1"/>
  <c r="B18"/>
  <c r="B22" s="1"/>
  <c r="D32"/>
  <c r="D33"/>
  <c r="D31"/>
  <c r="D34" s="1"/>
  <c r="C34"/>
  <c r="B34"/>
  <c r="J7"/>
  <c r="J8"/>
  <c r="J9"/>
  <c r="J10"/>
  <c r="J11"/>
  <c r="J5"/>
  <c r="J12" s="1"/>
  <c r="C6"/>
  <c r="C5"/>
  <c r="C4"/>
  <c r="C7" s="1"/>
  <c r="D9" s="1"/>
  <c r="L7" i="16"/>
  <c r="M7"/>
  <c r="L8"/>
  <c r="M8"/>
  <c r="L9"/>
  <c r="M9"/>
  <c r="L11"/>
  <c r="M11"/>
  <c r="L12"/>
  <c r="M12"/>
  <c r="L13"/>
  <c r="M13"/>
  <c r="L14"/>
  <c r="M14"/>
  <c r="C14" i="14"/>
  <c r="C15"/>
  <c r="F14"/>
  <c r="I10" i="15"/>
  <c r="I15" i="12"/>
  <c r="F19" i="11"/>
  <c r="F20"/>
  <c r="E20"/>
  <c r="E19"/>
  <c r="D11"/>
  <c r="D12"/>
  <c r="K7"/>
  <c r="J7"/>
  <c r="C11" i="9"/>
  <c r="C15"/>
  <c r="C16"/>
  <c r="C17"/>
  <c r="I16" i="1"/>
  <c r="I21"/>
  <c r="I15"/>
  <c r="I6"/>
  <c r="C15" i="16"/>
  <c r="C14"/>
  <c r="D14" i="15"/>
  <c r="E14"/>
  <c r="F14"/>
  <c r="E15" i="14"/>
  <c r="D15"/>
  <c r="E15" i="16"/>
  <c r="D15"/>
  <c r="E14"/>
  <c r="D14"/>
  <c r="E13"/>
  <c r="D13"/>
  <c r="C13"/>
  <c r="E12"/>
  <c r="D12"/>
  <c r="C12"/>
  <c r="E11"/>
  <c r="D11"/>
  <c r="C11"/>
  <c r="E10"/>
  <c r="D10"/>
  <c r="C10"/>
  <c r="E9"/>
  <c r="D9"/>
  <c r="C9"/>
  <c r="E8"/>
  <c r="D8"/>
  <c r="C8"/>
  <c r="E7"/>
  <c r="D7"/>
  <c r="C7"/>
  <c r="E6"/>
  <c r="D6"/>
  <c r="C6"/>
  <c r="F20" i="15"/>
  <c r="E20"/>
  <c r="D20"/>
  <c r="E19"/>
  <c r="D19"/>
  <c r="F18"/>
  <c r="E18"/>
  <c r="D18"/>
  <c r="F17"/>
  <c r="E17"/>
  <c r="D17"/>
  <c r="F16"/>
  <c r="E16"/>
  <c r="D16"/>
  <c r="F15"/>
  <c r="E15"/>
  <c r="D15"/>
  <c r="G14"/>
  <c r="F19"/>
  <c r="H19" s="1"/>
  <c r="H13"/>
  <c r="G13"/>
  <c r="H12"/>
  <c r="G12"/>
  <c r="H11"/>
  <c r="G11"/>
  <c r="H10"/>
  <c r="G10"/>
  <c r="H9"/>
  <c r="G9"/>
  <c r="H8"/>
  <c r="G8"/>
  <c r="H7"/>
  <c r="G7"/>
  <c r="H6"/>
  <c r="G6"/>
  <c r="E14" i="14"/>
  <c r="D14"/>
  <c r="E13"/>
  <c r="D13"/>
  <c r="C13"/>
  <c r="E12"/>
  <c r="D12"/>
  <c r="C12"/>
  <c r="E11"/>
  <c r="D11"/>
  <c r="C11"/>
  <c r="G10"/>
  <c r="F10"/>
  <c r="G9"/>
  <c r="F9"/>
  <c r="G8"/>
  <c r="F8"/>
  <c r="G7"/>
  <c r="F7"/>
  <c r="G6"/>
  <c r="F6"/>
  <c r="E11" i="13"/>
  <c r="D11"/>
  <c r="C11"/>
  <c r="G10"/>
  <c r="F10"/>
  <c r="E8"/>
  <c r="E12" s="1"/>
  <c r="D8"/>
  <c r="D12" s="1"/>
  <c r="C8"/>
  <c r="C12" s="1"/>
  <c r="G7"/>
  <c r="F7"/>
  <c r="G6"/>
  <c r="F6"/>
  <c r="C16" i="12"/>
  <c r="F45" i="17" l="1"/>
  <c r="G15" i="15"/>
  <c r="H15"/>
  <c r="G16"/>
  <c r="H16"/>
  <c r="G17"/>
  <c r="H17"/>
  <c r="G18"/>
  <c r="H18"/>
  <c r="G19"/>
  <c r="G20"/>
  <c r="H20"/>
  <c r="F11" i="14"/>
  <c r="G11"/>
  <c r="F12"/>
  <c r="G12"/>
  <c r="F13"/>
  <c r="G13"/>
  <c r="G14"/>
  <c r="F15"/>
  <c r="G15"/>
  <c r="F6" i="16"/>
  <c r="G6"/>
  <c r="F7"/>
  <c r="G7"/>
  <c r="F8"/>
  <c r="G8"/>
  <c r="F9"/>
  <c r="G9"/>
  <c r="F10"/>
  <c r="G10"/>
  <c r="F11"/>
  <c r="G11"/>
  <c r="F12"/>
  <c r="G12"/>
  <c r="F13"/>
  <c r="G13"/>
  <c r="F14"/>
  <c r="G14"/>
  <c r="F15"/>
  <c r="G15"/>
  <c r="H14" i="15"/>
  <c r="F11" i="13"/>
  <c r="G11"/>
  <c r="F12"/>
  <c r="G12"/>
  <c r="F8"/>
  <c r="G8"/>
  <c r="C9"/>
  <c r="D9"/>
  <c r="F9" s="1"/>
  <c r="E9"/>
  <c r="G9" s="1"/>
  <c r="J20" i="12"/>
  <c r="K20" s="1"/>
  <c r="H20"/>
  <c r="I20" s="1"/>
  <c r="J19"/>
  <c r="K19" s="1"/>
  <c r="H19"/>
  <c r="I19" s="1"/>
  <c r="G19"/>
  <c r="E19"/>
  <c r="C19"/>
  <c r="J18"/>
  <c r="K18" s="1"/>
  <c r="H18"/>
  <c r="I18" s="1"/>
  <c r="J17"/>
  <c r="K17" s="1"/>
  <c r="H17"/>
  <c r="I17" s="1"/>
  <c r="H16"/>
  <c r="I16" s="1"/>
  <c r="F16"/>
  <c r="J16" s="1"/>
  <c r="K16" s="1"/>
  <c r="J15"/>
  <c r="K15" s="1"/>
  <c r="H15"/>
  <c r="H14"/>
  <c r="I14" s="1"/>
  <c r="F14"/>
  <c r="J14" s="1"/>
  <c r="K14" s="1"/>
  <c r="J13"/>
  <c r="K13" s="1"/>
  <c r="H13"/>
  <c r="I13" s="1"/>
  <c r="G13"/>
  <c r="E13"/>
  <c r="C13"/>
  <c r="J10"/>
  <c r="K10" s="1"/>
  <c r="H10"/>
  <c r="I10" s="1"/>
  <c r="F9"/>
  <c r="G17" s="1"/>
  <c r="D9"/>
  <c r="E17" s="1"/>
  <c r="B9"/>
  <c r="C17" s="1"/>
  <c r="J8"/>
  <c r="K8" s="1"/>
  <c r="H8"/>
  <c r="I8" s="1"/>
  <c r="F7"/>
  <c r="G15" s="1"/>
  <c r="D7"/>
  <c r="E15" s="1"/>
  <c r="B7"/>
  <c r="C15" s="1"/>
  <c r="F6"/>
  <c r="G20" s="1"/>
  <c r="D6"/>
  <c r="E20" s="1"/>
  <c r="B6"/>
  <c r="C20" s="1"/>
  <c r="H6" l="1"/>
  <c r="I6" s="1"/>
  <c r="J6"/>
  <c r="K6" s="1"/>
  <c r="C7"/>
  <c r="E7"/>
  <c r="G7"/>
  <c r="H7"/>
  <c r="I7" s="1"/>
  <c r="J7"/>
  <c r="K7" s="1"/>
  <c r="C8"/>
  <c r="E8"/>
  <c r="G8"/>
  <c r="H9"/>
  <c r="I9" s="1"/>
  <c r="J9"/>
  <c r="K9" s="1"/>
  <c r="C14"/>
  <c r="E14"/>
  <c r="G14"/>
  <c r="E16"/>
  <c r="G16"/>
  <c r="C18"/>
  <c r="E18"/>
  <c r="G18"/>
  <c r="F10" i="10"/>
  <c r="E10"/>
  <c r="D10"/>
  <c r="F9"/>
  <c r="E9"/>
  <c r="D9"/>
  <c r="F8"/>
  <c r="E8"/>
  <c r="D8"/>
  <c r="F7"/>
  <c r="E7"/>
  <c r="D7"/>
  <c r="F6"/>
  <c r="E6"/>
  <c r="D6"/>
  <c r="D11" i="6" l="1"/>
  <c r="F9"/>
  <c r="E9"/>
  <c r="D9"/>
  <c r="D8"/>
  <c r="F12" i="11"/>
  <c r="E12"/>
  <c r="F11"/>
  <c r="E11"/>
  <c r="F10"/>
  <c r="E10"/>
  <c r="H10"/>
  <c r="D10"/>
  <c r="H9"/>
  <c r="G9"/>
  <c r="G7"/>
  <c r="H7"/>
  <c r="G8"/>
  <c r="H8"/>
  <c r="G10"/>
  <c r="G11"/>
  <c r="H11"/>
  <c r="G12"/>
  <c r="H12"/>
  <c r="H6"/>
  <c r="G6"/>
  <c r="G7" i="10"/>
  <c r="H7"/>
  <c r="G8"/>
  <c r="H9"/>
  <c r="G10"/>
  <c r="H10"/>
  <c r="H6"/>
  <c r="G6"/>
  <c r="E9" i="9"/>
  <c r="D9"/>
  <c r="C9"/>
  <c r="F7"/>
  <c r="G7"/>
  <c r="F8"/>
  <c r="F10"/>
  <c r="G10"/>
  <c r="F12"/>
  <c r="G12"/>
  <c r="F14"/>
  <c r="G14"/>
  <c r="G6"/>
  <c r="F6"/>
  <c r="D10" i="8"/>
  <c r="C10"/>
  <c r="C11"/>
  <c r="D11"/>
  <c r="E11"/>
  <c r="F11"/>
  <c r="E10"/>
  <c r="E8"/>
  <c r="E12" s="1"/>
  <c r="D8"/>
  <c r="D12" s="1"/>
  <c r="C8"/>
  <c r="C12" s="1"/>
  <c r="G6"/>
  <c r="F6"/>
  <c r="F7"/>
  <c r="G7"/>
  <c r="F9"/>
  <c r="G9"/>
  <c r="F10"/>
  <c r="G10"/>
  <c r="E14" i="7"/>
  <c r="F14"/>
  <c r="D14"/>
  <c r="G14" s="1"/>
  <c r="F10"/>
  <c r="F15" s="1"/>
  <c r="E10"/>
  <c r="E15" s="1"/>
  <c r="D10"/>
  <c r="G10" s="1"/>
  <c r="G8"/>
  <c r="H8"/>
  <c r="G9"/>
  <c r="H9"/>
  <c r="H10"/>
  <c r="G11"/>
  <c r="H11"/>
  <c r="G12"/>
  <c r="H12"/>
  <c r="G13"/>
  <c r="H13"/>
  <c r="H14"/>
  <c r="H6"/>
  <c r="G6"/>
  <c r="H7"/>
  <c r="G7"/>
  <c r="F12" i="6"/>
  <c r="E12"/>
  <c r="D12"/>
  <c r="G8"/>
  <c r="H8"/>
  <c r="I8"/>
  <c r="J8"/>
  <c r="G9"/>
  <c r="H9"/>
  <c r="I9"/>
  <c r="J9"/>
  <c r="K8"/>
  <c r="L8"/>
  <c r="M8"/>
  <c r="K9"/>
  <c r="L9"/>
  <c r="M9"/>
  <c r="M12"/>
  <c r="L12"/>
  <c r="K12"/>
  <c r="H12"/>
  <c r="J12" s="1"/>
  <c r="G12"/>
  <c r="I12" s="1"/>
  <c r="M11"/>
  <c r="L11"/>
  <c r="K11"/>
  <c r="H11"/>
  <c r="J11" s="1"/>
  <c r="G11"/>
  <c r="I11" s="1"/>
  <c r="M10"/>
  <c r="L10"/>
  <c r="K10"/>
  <c r="H10"/>
  <c r="J10" s="1"/>
  <c r="G10"/>
  <c r="I10" s="1"/>
  <c r="M7"/>
  <c r="L7"/>
  <c r="K7"/>
  <c r="H7"/>
  <c r="J7" s="1"/>
  <c r="G7"/>
  <c r="I7" s="1"/>
  <c r="H6"/>
  <c r="J6" s="1"/>
  <c r="G6"/>
  <c r="I6" s="1"/>
  <c r="M43" i="3"/>
  <c r="K22"/>
  <c r="L22"/>
  <c r="M22"/>
  <c r="K23"/>
  <c r="L23"/>
  <c r="M23"/>
  <c r="G22"/>
  <c r="I22" s="1"/>
  <c r="H22"/>
  <c r="J22" s="1"/>
  <c r="G23"/>
  <c r="I23" s="1"/>
  <c r="H23"/>
  <c r="J23" s="1"/>
  <c r="L14"/>
  <c r="M14"/>
  <c r="K14"/>
  <c r="G14"/>
  <c r="I14" s="1"/>
  <c r="H14"/>
  <c r="J14" s="1"/>
  <c r="M25"/>
  <c r="G28"/>
  <c r="H28"/>
  <c r="I28"/>
  <c r="J28"/>
  <c r="K28"/>
  <c r="L28"/>
  <c r="M28"/>
  <c r="G29"/>
  <c r="H29"/>
  <c r="I29"/>
  <c r="J29"/>
  <c r="K29"/>
  <c r="L29"/>
  <c r="M29"/>
  <c r="G30"/>
  <c r="H30"/>
  <c r="I30"/>
  <c r="J30"/>
  <c r="K30"/>
  <c r="L30"/>
  <c r="M30"/>
  <c r="G31"/>
  <c r="H31"/>
  <c r="I31"/>
  <c r="J31"/>
  <c r="K31"/>
  <c r="L31"/>
  <c r="M31"/>
  <c r="G32"/>
  <c r="H32"/>
  <c r="I32"/>
  <c r="J32"/>
  <c r="K32"/>
  <c r="L32"/>
  <c r="M32"/>
  <c r="G33"/>
  <c r="H33"/>
  <c r="I33"/>
  <c r="J33"/>
  <c r="K33"/>
  <c r="L33"/>
  <c r="M33"/>
  <c r="G35"/>
  <c r="H35"/>
  <c r="I35"/>
  <c r="J35"/>
  <c r="K35"/>
  <c r="L35"/>
  <c r="M35"/>
  <c r="G36"/>
  <c r="H36"/>
  <c r="I36"/>
  <c r="J36"/>
  <c r="K36"/>
  <c r="L36"/>
  <c r="M36"/>
  <c r="G37"/>
  <c r="H37"/>
  <c r="I37"/>
  <c r="J37"/>
  <c r="K37"/>
  <c r="L37"/>
  <c r="M37"/>
  <c r="G38"/>
  <c r="H38"/>
  <c r="J38" s="1"/>
  <c r="I38"/>
  <c r="K38"/>
  <c r="L38"/>
  <c r="M38"/>
  <c r="G40"/>
  <c r="H40"/>
  <c r="J40" s="1"/>
  <c r="I40"/>
  <c r="K40"/>
  <c r="L40"/>
  <c r="M40"/>
  <c r="G41"/>
  <c r="H41"/>
  <c r="I41"/>
  <c r="J41"/>
  <c r="K41"/>
  <c r="L41"/>
  <c r="M41"/>
  <c r="G42"/>
  <c r="H42"/>
  <c r="I42"/>
  <c r="J42"/>
  <c r="K42"/>
  <c r="L42"/>
  <c r="M42"/>
  <c r="G43"/>
  <c r="H43"/>
  <c r="I43"/>
  <c r="J43"/>
  <c r="K43"/>
  <c r="L43"/>
  <c r="M27"/>
  <c r="L27"/>
  <c r="K27"/>
  <c r="H27"/>
  <c r="J27" s="1"/>
  <c r="G27"/>
  <c r="I27" s="1"/>
  <c r="L25"/>
  <c r="K25"/>
  <c r="H25"/>
  <c r="J25" s="1"/>
  <c r="G25"/>
  <c r="I25" s="1"/>
  <c r="M24"/>
  <c r="L24"/>
  <c r="K24"/>
  <c r="H24"/>
  <c r="J24" s="1"/>
  <c r="G24"/>
  <c r="I24" s="1"/>
  <c r="M21"/>
  <c r="L21"/>
  <c r="K21"/>
  <c r="H21"/>
  <c r="J21" s="1"/>
  <c r="G21"/>
  <c r="I21" s="1"/>
  <c r="M20"/>
  <c r="L20"/>
  <c r="K20"/>
  <c r="H20"/>
  <c r="J20" s="1"/>
  <c r="G20"/>
  <c r="I20" s="1"/>
  <c r="M18"/>
  <c r="L18"/>
  <c r="K18"/>
  <c r="H18"/>
  <c r="J18" s="1"/>
  <c r="G18"/>
  <c r="I18" s="1"/>
  <c r="M17"/>
  <c r="L17"/>
  <c r="K17"/>
  <c r="H17"/>
  <c r="J17" s="1"/>
  <c r="G17"/>
  <c r="I17" s="1"/>
  <c r="M16"/>
  <c r="L16"/>
  <c r="K16"/>
  <c r="H16"/>
  <c r="J16" s="1"/>
  <c r="G16"/>
  <c r="I16" s="1"/>
  <c r="M15"/>
  <c r="L15"/>
  <c r="K15"/>
  <c r="H15"/>
  <c r="J15" s="1"/>
  <c r="G15"/>
  <c r="I15" s="1"/>
  <c r="M13"/>
  <c r="L13"/>
  <c r="K13"/>
  <c r="H13"/>
  <c r="J13" s="1"/>
  <c r="G13"/>
  <c r="I13" s="1"/>
  <c r="M12"/>
  <c r="L12"/>
  <c r="K12"/>
  <c r="H12"/>
  <c r="J12" s="1"/>
  <c r="G12"/>
  <c r="I12" s="1"/>
  <c r="M11"/>
  <c r="L11"/>
  <c r="K11"/>
  <c r="H11"/>
  <c r="J11" s="1"/>
  <c r="G11"/>
  <c r="I11" s="1"/>
  <c r="M10"/>
  <c r="L10"/>
  <c r="K10"/>
  <c r="H10"/>
  <c r="J10" s="1"/>
  <c r="G10"/>
  <c r="I10" s="1"/>
  <c r="M8"/>
  <c r="L8"/>
  <c r="K8"/>
  <c r="H8"/>
  <c r="J8" s="1"/>
  <c r="G8"/>
  <c r="I8" s="1"/>
  <c r="M7"/>
  <c r="L7"/>
  <c r="K7"/>
  <c r="H7"/>
  <c r="J7" s="1"/>
  <c r="G7"/>
  <c r="I7" s="1"/>
  <c r="H6"/>
  <c r="J6" s="1"/>
  <c r="G6"/>
  <c r="I6" s="1"/>
  <c r="M12" i="2"/>
  <c r="M7"/>
  <c r="L7"/>
  <c r="K7"/>
  <c r="L13"/>
  <c r="K16"/>
  <c r="H26"/>
  <c r="J26" s="1"/>
  <c r="G26"/>
  <c r="I26" s="1"/>
  <c r="G18"/>
  <c r="H18"/>
  <c r="I18"/>
  <c r="J18"/>
  <c r="G20"/>
  <c r="H20"/>
  <c r="I20"/>
  <c r="J20"/>
  <c r="G21"/>
  <c r="H21"/>
  <c r="I21"/>
  <c r="J21"/>
  <c r="G22"/>
  <c r="H22"/>
  <c r="I22"/>
  <c r="J22"/>
  <c r="G24"/>
  <c r="H24"/>
  <c r="I24"/>
  <c r="J24"/>
  <c r="G25"/>
  <c r="H25"/>
  <c r="I25"/>
  <c r="J25"/>
  <c r="G27"/>
  <c r="H27"/>
  <c r="I27"/>
  <c r="J27"/>
  <c r="G13"/>
  <c r="I13" s="1"/>
  <c r="H13"/>
  <c r="J13" s="1"/>
  <c r="G15"/>
  <c r="H15"/>
  <c r="I15"/>
  <c r="J15"/>
  <c r="G16"/>
  <c r="H16"/>
  <c r="I16"/>
  <c r="J16"/>
  <c r="G17"/>
  <c r="H17"/>
  <c r="I17"/>
  <c r="J17"/>
  <c r="K15"/>
  <c r="L15"/>
  <c r="M15"/>
  <c r="L16"/>
  <c r="M16"/>
  <c r="K17"/>
  <c r="L17"/>
  <c r="M17"/>
  <c r="K18"/>
  <c r="L18"/>
  <c r="M18"/>
  <c r="K20"/>
  <c r="L20"/>
  <c r="M20"/>
  <c r="K21"/>
  <c r="L21"/>
  <c r="M21"/>
  <c r="K22"/>
  <c r="L22"/>
  <c r="M22"/>
  <c r="K24"/>
  <c r="L24"/>
  <c r="M24"/>
  <c r="K25"/>
  <c r="L25"/>
  <c r="M25"/>
  <c r="K26"/>
  <c r="L26"/>
  <c r="M26"/>
  <c r="K27"/>
  <c r="L27"/>
  <c r="M27"/>
  <c r="K13"/>
  <c r="M13"/>
  <c r="M11"/>
  <c r="L11"/>
  <c r="L12"/>
  <c r="K12"/>
  <c r="K11"/>
  <c r="L10"/>
  <c r="M10"/>
  <c r="K10"/>
  <c r="K8"/>
  <c r="L8"/>
  <c r="M8"/>
  <c r="H8"/>
  <c r="J8" s="1"/>
  <c r="G8"/>
  <c r="I8" s="1"/>
  <c r="G10"/>
  <c r="H10"/>
  <c r="I10"/>
  <c r="J10"/>
  <c r="G11"/>
  <c r="H11"/>
  <c r="I11"/>
  <c r="J11"/>
  <c r="G12"/>
  <c r="H12"/>
  <c r="I12"/>
  <c r="J12"/>
  <c r="H7"/>
  <c r="J7" s="1"/>
  <c r="G7"/>
  <c r="I7" s="1"/>
  <c r="H6"/>
  <c r="J6" s="1"/>
  <c r="G6"/>
  <c r="I6" s="1"/>
  <c r="K7" i="1"/>
  <c r="M22"/>
  <c r="L22"/>
  <c r="K22"/>
  <c r="L21"/>
  <c r="M21"/>
  <c r="K21"/>
  <c r="M20"/>
  <c r="L20"/>
  <c r="K20"/>
  <c r="M19"/>
  <c r="L19"/>
  <c r="K19"/>
  <c r="L18"/>
  <c r="M18"/>
  <c r="K18"/>
  <c r="K16"/>
  <c r="M16"/>
  <c r="L16"/>
  <c r="M15"/>
  <c r="L15"/>
  <c r="K15"/>
  <c r="M14"/>
  <c r="L14"/>
  <c r="K14"/>
  <c r="M11"/>
  <c r="L11"/>
  <c r="K11"/>
  <c r="L12"/>
  <c r="M12"/>
  <c r="K12"/>
  <c r="L10"/>
  <c r="M10"/>
  <c r="K10"/>
  <c r="M8"/>
  <c r="M13" s="1"/>
  <c r="L8"/>
  <c r="L13" s="1"/>
  <c r="K8"/>
  <c r="K13" s="1"/>
  <c r="L7"/>
  <c r="M7"/>
  <c r="G12"/>
  <c r="H12"/>
  <c r="G13"/>
  <c r="H13"/>
  <c r="G8"/>
  <c r="H8"/>
  <c r="J8" s="1"/>
  <c r="I8"/>
  <c r="I12"/>
  <c r="J12"/>
  <c r="I13"/>
  <c r="J13"/>
  <c r="G18"/>
  <c r="I18" s="1"/>
  <c r="H18"/>
  <c r="J18" s="1"/>
  <c r="G20"/>
  <c r="I20" s="1"/>
  <c r="H20"/>
  <c r="J20" s="1"/>
  <c r="G21"/>
  <c r="H21"/>
  <c r="J21" s="1"/>
  <c r="G22"/>
  <c r="I22" s="1"/>
  <c r="H22"/>
  <c r="J22" s="1"/>
  <c r="H19"/>
  <c r="J19" s="1"/>
  <c r="G19"/>
  <c r="I19" s="1"/>
  <c r="H16"/>
  <c r="J16" s="1"/>
  <c r="G16"/>
  <c r="G14"/>
  <c r="I14" s="1"/>
  <c r="H14"/>
  <c r="J14" s="1"/>
  <c r="G15"/>
  <c r="H15"/>
  <c r="J15" s="1"/>
  <c r="G11"/>
  <c r="I11" s="1"/>
  <c r="H11"/>
  <c r="J11" s="1"/>
  <c r="H10"/>
  <c r="J10" s="1"/>
  <c r="G10"/>
  <c r="I10" s="1"/>
  <c r="H7"/>
  <c r="J7" s="1"/>
  <c r="G7"/>
  <c r="I7" s="1"/>
  <c r="H6"/>
  <c r="J6" s="1"/>
  <c r="G6"/>
  <c r="E16" i="7" l="1"/>
  <c r="F16"/>
  <c r="H16" s="1"/>
  <c r="H15"/>
  <c r="F9" i="9"/>
  <c r="D15"/>
  <c r="D11"/>
  <c r="E15"/>
  <c r="G15" s="1"/>
  <c r="E11"/>
  <c r="G9"/>
  <c r="F12" i="8"/>
  <c r="F13" s="1"/>
  <c r="G12"/>
  <c r="G13" s="1"/>
  <c r="D15" i="7"/>
  <c r="D16" s="1"/>
  <c r="F8" i="8"/>
  <c r="G8"/>
  <c r="G11"/>
  <c r="H8" i="10"/>
  <c r="G9"/>
  <c r="G8" i="9"/>
  <c r="E16" l="1"/>
  <c r="E13"/>
  <c r="G11"/>
  <c r="D16"/>
  <c r="D13"/>
  <c r="F11"/>
  <c r="F16"/>
  <c r="C13"/>
  <c r="F15"/>
  <c r="G15" i="7"/>
  <c r="G16"/>
  <c r="D17" i="9" l="1"/>
  <c r="F17" s="1"/>
  <c r="F13"/>
  <c r="E17"/>
  <c r="G17" s="1"/>
  <c r="G13"/>
  <c r="G16"/>
</calcChain>
</file>

<file path=xl/sharedStrings.xml><?xml version="1.0" encoding="utf-8"?>
<sst xmlns="http://schemas.openxmlformats.org/spreadsheetml/2006/main" count="768" uniqueCount="460">
  <si>
    <t>Показатели</t>
  </si>
  <si>
    <t>Номер строки</t>
  </si>
  <si>
    <t>Код строки по балансу</t>
  </si>
  <si>
    <t>Сумма, тыс. руб</t>
  </si>
  <si>
    <t>Изменения за год, тыс. руб. (+, -)</t>
  </si>
  <si>
    <t>Темпы изменения , % (+,-)</t>
  </si>
  <si>
    <t>Удельный вес в имуществе предприятия, %</t>
  </si>
  <si>
    <t>Имущество предприятия, всего</t>
  </si>
  <si>
    <t>В том числе внеоборотные активы</t>
  </si>
  <si>
    <t>Из них:</t>
  </si>
  <si>
    <t>Нематериальные активы</t>
  </si>
  <si>
    <t>Основные средства</t>
  </si>
  <si>
    <t xml:space="preserve">Незавершенное строительство </t>
  </si>
  <si>
    <t>Доходные вложения в материальные ценности</t>
  </si>
  <si>
    <t xml:space="preserve">Долгосрочные вложения </t>
  </si>
  <si>
    <t>Прочие внеоборотные активы</t>
  </si>
  <si>
    <t>Оборотные активы</t>
  </si>
  <si>
    <t>Запасы</t>
  </si>
  <si>
    <t>Дебиторская задолженность, платежи по которой ожидаются      более чем через 12 месяцев после отчетной даты</t>
  </si>
  <si>
    <t>в течении12 месяцев после отчетной даны</t>
  </si>
  <si>
    <t>Краткосрочные финансовые вложения</t>
  </si>
  <si>
    <t>Денежные средства</t>
  </si>
  <si>
    <t>Прочие оборотные активы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</si>
  <si>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</si>
  <si>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</si>
  <si>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</si>
  <si>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</si>
  <si>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</si>
  <si>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</si>
  <si>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</si>
  <si>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</si>
  <si>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</si>
  <si>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</si>
  <si>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</si>
  <si>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</si>
  <si>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</si>
  <si>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</si>
  <si>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</si>
  <si>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Внеоборотные (долгосрочные) активы, всего:</t>
  </si>
  <si>
    <t>в том числе</t>
  </si>
  <si>
    <t>патенты, лицензии, товарные знаки, иные аналогические права и активы</t>
  </si>
  <si>
    <t>организационные расходы</t>
  </si>
  <si>
    <t>деловая репутация</t>
  </si>
  <si>
    <t>земельные участки и объекты природопользования</t>
  </si>
  <si>
    <t>здания, машины и оборудование</t>
  </si>
  <si>
    <t>Незавершенное строительство</t>
  </si>
  <si>
    <t>в том числе:</t>
  </si>
  <si>
    <t>имущество для передачи в лизинг</t>
  </si>
  <si>
    <t>имущество, предоставляемое по договору проката</t>
  </si>
  <si>
    <t>Долгосрочные финансовые вложения</t>
  </si>
  <si>
    <t>инвестиции в дочерние общества</t>
  </si>
  <si>
    <t>инвестиции в зависимые общества</t>
  </si>
  <si>
    <t xml:space="preserve">инвестиции в другие организации </t>
  </si>
  <si>
    <t xml:space="preserve">займы, предоставленные организациям на срок более 12 месяцев </t>
  </si>
  <si>
    <t>прочие долгосрочные финансовые вложения</t>
  </si>
  <si>
    <t>16</t>
  </si>
  <si>
    <t>17</t>
  </si>
  <si>
    <t>18</t>
  </si>
  <si>
    <t>Характеристика имущественного положения предприятия</t>
  </si>
  <si>
    <t>Состав и структура внеобороных (долгосрочных) активов</t>
  </si>
  <si>
    <t>Состав и структура оборотных активов</t>
  </si>
  <si>
    <t>Оборотные (текущие) активы, всего</t>
  </si>
  <si>
    <t>Из них :</t>
  </si>
  <si>
    <t>сырье, материалы и другие  аналогичные ценности</t>
  </si>
  <si>
    <t>животные на откорме</t>
  </si>
  <si>
    <t>затраты в незавершенном производстве (издержки обращения)</t>
  </si>
  <si>
    <t>готовая продукция и товары для перепродажи</t>
  </si>
  <si>
    <t xml:space="preserve">товары отгруженные </t>
  </si>
  <si>
    <t>расходы будущих периодов</t>
  </si>
  <si>
    <t>прочие запасы и затраты</t>
  </si>
  <si>
    <t>Налог на добавленную стоимость</t>
  </si>
  <si>
    <t>покупателей и заказчиков</t>
  </si>
  <si>
    <t>векселя к получению</t>
  </si>
  <si>
    <t>задолженность дочерних и зависимых обществ</t>
  </si>
  <si>
    <t>авансы выданные</t>
  </si>
  <si>
    <t>прочие дебиторы</t>
  </si>
  <si>
    <t xml:space="preserve">Краткосрочные финансовые вложения </t>
  </si>
  <si>
    <t>займы, предоставленные организациям на срок не менее 12 месяцев</t>
  </si>
  <si>
    <t>собственные акции, выкупленные у акционеров</t>
  </si>
  <si>
    <t>прочие краткосрочные финансовые вложения</t>
  </si>
  <si>
    <t>касса</t>
  </si>
  <si>
    <t>расчетные счета</t>
  </si>
  <si>
    <t>валютные счета</t>
  </si>
  <si>
    <t>прочие денежные средства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</si>
  <si>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</si>
  <si>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</si>
  <si>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</si>
  <si>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</si>
  <si>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</si>
  <si>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</si>
  <si>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</si>
  <si>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</si>
  <si>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</si>
  <si>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</si>
  <si>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</si>
  <si>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</si>
  <si>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</si>
  <si>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</si>
  <si>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</si>
  <si>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Наличие собственных оборотных средств</t>
  </si>
  <si>
    <t>х</t>
  </si>
  <si>
    <t>2008 к 2007</t>
  </si>
  <si>
    <t>2009 к 2008</t>
  </si>
  <si>
    <t>Оценка капитала, вложенного в имущество предприятия</t>
  </si>
  <si>
    <t xml:space="preserve">  заемный капитал</t>
  </si>
  <si>
    <t>Собственные источники средств для формирования внеоборотных активов</t>
  </si>
  <si>
    <t>Наличие собственных оборотных средств (стр.02-стр.03-стр.06)</t>
  </si>
  <si>
    <t xml:space="preserve">  Из него: средства, приравненные к собственным средствам</t>
  </si>
  <si>
    <t xml:space="preserve">  Из него: кредиторская задолженность</t>
  </si>
  <si>
    <t>630+640++650-216</t>
  </si>
  <si>
    <t>590+690</t>
  </si>
  <si>
    <t>190-511-   512</t>
  </si>
  <si>
    <t>Изменение за год, тыс. руб. (+, -)</t>
  </si>
  <si>
    <t xml:space="preserve">Запасы </t>
  </si>
  <si>
    <t>Дебиторская задолженность покупателей за товары, работы и услуги</t>
  </si>
  <si>
    <t>Авансы выданные</t>
  </si>
  <si>
    <t>И т о г о 
(стр.02+стр.03+стр.04)</t>
  </si>
  <si>
    <t>Краткосрочные кредиты и займы под запасы и затраты</t>
  </si>
  <si>
    <t>Кредиторская задолженность за товары, работы и услуги</t>
  </si>
  <si>
    <t>Авансы, полученные от покупателей и заказчиков</t>
  </si>
  <si>
    <t>И т о г о 
(стр.06+стр.07+стр.08)</t>
  </si>
  <si>
    <t>Запасы и затраты, не прокредитованные банком (стр.05-стр.09)</t>
  </si>
  <si>
    <t>234+245</t>
  </si>
  <si>
    <t>611+612</t>
  </si>
  <si>
    <t>Излишек (+), недостаток (-) собств. Оборотных средств для покрытия запасов, затрат и дебиторской задолженности (стр.01 - стр.10)</t>
  </si>
  <si>
    <t>Изменение за год (+,-)</t>
  </si>
  <si>
    <t>Выручка от продаж товаров, продукции, работ, услуг за минусом НДС, тыс. руб..</t>
  </si>
  <si>
    <t>Число дней в отчетном периоде</t>
  </si>
  <si>
    <t>Однодневная продажа продукции работ, услуг, тыс. руб.(стр.01 : стр.02)</t>
  </si>
  <si>
    <t>Коэффициент оборачиваемости оборотных средств (стр.01 : стр.04)</t>
  </si>
  <si>
    <t>Коэффициент закрепления оборотных средств (стр.04 : стр.01)</t>
  </si>
  <si>
    <t>Длительность одного оборота средств в днях (стр.04 : стр.03)</t>
  </si>
  <si>
    <t>Эффективность использования оборотных средств</t>
  </si>
  <si>
    <t>Источники формирования собственных оборотных средств (стр.490 баланса)</t>
  </si>
  <si>
    <t>Внеоборотные активы (стр.190 баланса)</t>
  </si>
  <si>
    <t>Долгосрочные пассивы (стр.590 баланса)</t>
  </si>
  <si>
    <t>Наличие собственных оборотных средств (стр.01 - стр.02-стр.03)</t>
  </si>
  <si>
    <t>Краткосрочные заёмные средства (стр.690 баланса)</t>
  </si>
  <si>
    <t>Величина источников формирования запасов (стр.06 + стр.07)</t>
  </si>
  <si>
    <t>Общая величина запасов по бухгалтерскому балансу (стр.210)</t>
  </si>
  <si>
    <t>Излишек (+), недостаток (-) собственных оборотных средств (стр.04 - стр.09)</t>
  </si>
  <si>
    <t>Излишек (+), недостаток (-) собственных и долгосрочных заёмных источников формирования запасов (стр.06 - стр.09)</t>
  </si>
  <si>
    <t>Излишек (+), недостаток (-) общей величины основных источников формирования запасов (стр.08 - стр.09)</t>
  </si>
  <si>
    <t>Анализ показателей финансовой устойчивости предприятия</t>
  </si>
  <si>
    <t>Алгоритм расчета по балансу</t>
  </si>
  <si>
    <t>стр.490 / стр. 700</t>
  </si>
  <si>
    <t>(стр590+690)/стр.490</t>
  </si>
  <si>
    <t>(стр490-190) / стр490</t>
  </si>
  <si>
    <t>(стр.490-190)/стр.290</t>
  </si>
  <si>
    <t>стр.(100+120+211+213) / стр.300</t>
  </si>
  <si>
    <t>Показатели платежеспособности и ликвидности предприятия</t>
  </si>
  <si>
    <t>Денежные средства и кратковременные финансовые вложения, тыс. руб.</t>
  </si>
  <si>
    <t>Дебиторская задолженность и прочие оборотные активы, тыс. руб.</t>
  </si>
  <si>
    <t>Запасы (материальные оборотные средства), тыс. руб.</t>
  </si>
  <si>
    <t>Коэффициент быстрой ликвидности, (стр.02+стр.03) : стр.01)</t>
  </si>
  <si>
    <t>Коэффициент текущей ликвидности, (стр.02+стр.03+стр.04) : стр.01)</t>
  </si>
  <si>
    <t>Кратковременные долговые обязательства. Тыс. руб.</t>
  </si>
  <si>
    <t>Граничные значения коэффициентов</t>
  </si>
  <si>
    <t>Сумма, тыс. руб.</t>
  </si>
  <si>
    <t>В том числе запасы</t>
  </si>
  <si>
    <t xml:space="preserve">в том числе:   </t>
  </si>
  <si>
    <t xml:space="preserve">задолженность участников (учредителей) по взносам в уставный капитал </t>
  </si>
  <si>
    <r>
      <t xml:space="preserve">Дебиторская задолженность, </t>
    </r>
    <r>
      <rPr>
        <sz val="10"/>
        <color theme="1"/>
        <rFont val="Times New Roman"/>
        <family val="1"/>
        <charset val="204"/>
      </rPr>
      <t xml:space="preserve">платежи по которой ожидаются </t>
    </r>
    <r>
      <rPr>
        <u/>
        <sz val="10"/>
        <color theme="1"/>
        <rFont val="Times New Roman"/>
        <family val="1"/>
        <charset val="204"/>
      </rPr>
      <t xml:space="preserve">более чем </t>
    </r>
    <r>
      <rPr>
        <sz val="10"/>
        <color theme="1"/>
        <rFont val="Times New Roman"/>
        <family val="1"/>
        <charset val="204"/>
      </rPr>
      <t xml:space="preserve">через  12 месяцев после отчетной даты </t>
    </r>
  </si>
  <si>
    <r>
      <t xml:space="preserve">Дебиторская задолженность, </t>
    </r>
    <r>
      <rPr>
        <sz val="10"/>
        <color theme="1"/>
        <rFont val="Times New Roman"/>
        <family val="1"/>
        <charset val="204"/>
      </rPr>
      <t xml:space="preserve">платежи по которой ожидаются </t>
    </r>
    <r>
      <rPr>
        <u/>
        <sz val="10"/>
        <color theme="1"/>
        <rFont val="Times New Roman"/>
        <family val="1"/>
        <charset val="204"/>
      </rPr>
      <t xml:space="preserve">в течении </t>
    </r>
    <r>
      <rPr>
        <sz val="10"/>
        <color theme="1"/>
        <rFont val="Times New Roman"/>
        <family val="1"/>
        <charset val="204"/>
      </rPr>
      <t xml:space="preserve">  12 месяцев после отчетной даты </t>
    </r>
  </si>
  <si>
    <r>
      <t xml:space="preserve">Источники средств предприятия, </t>
    </r>
    <r>
      <rPr>
        <sz val="10"/>
        <color theme="1"/>
        <rFont val="Times New Roman"/>
        <family val="1"/>
        <charset val="204"/>
      </rPr>
      <t>всего</t>
    </r>
  </si>
  <si>
    <r>
      <rPr>
        <sz val="10"/>
        <color theme="1"/>
        <rFont val="Times New Roman"/>
        <family val="1"/>
        <charset val="204"/>
      </rPr>
      <t>В том числе:</t>
    </r>
    <r>
      <rPr>
        <b/>
        <sz val="10"/>
        <color theme="1"/>
        <rFont val="Times New Roman"/>
        <family val="1"/>
        <charset val="204"/>
      </rPr>
      <t xml:space="preserve">
  собственный капитал</t>
    </r>
  </si>
  <si>
    <r>
      <t xml:space="preserve">Оценка финансовой устойчивости предтриятия, </t>
    </r>
    <r>
      <rPr>
        <b/>
        <sz val="13"/>
        <color theme="1"/>
        <rFont val="Times New Roman"/>
        <family val="1"/>
        <charset val="204"/>
      </rPr>
      <t>тыс. руб.</t>
    </r>
  </si>
  <si>
    <r>
      <t xml:space="preserve">Коэффициент автономии </t>
    </r>
    <r>
      <rPr>
        <i/>
        <sz val="10"/>
        <color theme="1"/>
        <rFont val="Times New Roman"/>
        <family val="1"/>
        <charset val="204"/>
      </rPr>
      <t>К</t>
    </r>
    <r>
      <rPr>
        <i/>
        <vertAlign val="subscript"/>
        <sz val="10"/>
        <color theme="1"/>
        <rFont val="Times New Roman"/>
        <family val="1"/>
        <charset val="204"/>
      </rPr>
      <t>а</t>
    </r>
  </si>
  <si>
    <r>
      <t>К</t>
    </r>
    <r>
      <rPr>
        <vertAlign val="subscript"/>
        <sz val="11"/>
        <color theme="1"/>
        <rFont val="Times New Roman"/>
        <family val="1"/>
        <charset val="204"/>
      </rPr>
      <t>а</t>
    </r>
    <r>
      <rPr>
        <sz val="11"/>
        <color theme="1"/>
        <rFont val="Times New Roman"/>
        <family val="1"/>
        <charset val="204"/>
      </rPr>
      <t>≥0,5</t>
    </r>
  </si>
  <si>
    <r>
      <t xml:space="preserve">Коэффициент соотношения заёмных и собственных средств </t>
    </r>
    <r>
      <rPr>
        <i/>
        <sz val="10"/>
        <color theme="1"/>
        <rFont val="Times New Roman"/>
        <family val="1"/>
        <charset val="204"/>
      </rPr>
      <t>К</t>
    </r>
    <r>
      <rPr>
        <i/>
        <vertAlign val="subscript"/>
        <sz val="10"/>
        <color theme="1"/>
        <rFont val="Times New Roman"/>
        <family val="1"/>
        <charset val="204"/>
      </rPr>
      <t>ЗС</t>
    </r>
  </si>
  <si>
    <r>
      <t>К</t>
    </r>
    <r>
      <rPr>
        <vertAlign val="subscript"/>
        <sz val="11"/>
        <color theme="1"/>
        <rFont val="Times New Roman"/>
        <family val="1"/>
        <charset val="204"/>
      </rPr>
      <t>зс</t>
    </r>
    <r>
      <rPr>
        <sz val="11"/>
        <color theme="1"/>
        <rFont val="Times New Roman"/>
        <family val="1"/>
        <charset val="204"/>
      </rPr>
      <t xml:space="preserve"> &lt; 1,0</t>
    </r>
  </si>
  <si>
    <r>
      <t>Коэффициент маневренности К</t>
    </r>
    <r>
      <rPr>
        <vertAlign val="subscript"/>
        <sz val="10"/>
        <color theme="1"/>
        <rFont val="Times New Roman"/>
        <family val="1"/>
        <charset val="204"/>
      </rPr>
      <t>м</t>
    </r>
  </si>
  <si>
    <r>
      <t>К</t>
    </r>
    <r>
      <rPr>
        <vertAlign val="subscript"/>
        <sz val="11"/>
        <color theme="1"/>
        <rFont val="Times New Roman"/>
        <family val="1"/>
        <charset val="204"/>
      </rPr>
      <t xml:space="preserve">м </t>
    </r>
    <r>
      <rPr>
        <sz val="11"/>
        <color theme="1"/>
        <rFont val="Times New Roman"/>
        <family val="1"/>
        <charset val="204"/>
      </rPr>
      <t>≥ 0,5</t>
    </r>
  </si>
  <si>
    <r>
      <t>Коэффициент обеспеченности собственными оборотными средствами К</t>
    </r>
    <r>
      <rPr>
        <vertAlign val="subscript"/>
        <sz val="10"/>
        <color theme="1"/>
        <rFont val="Times New Roman"/>
        <family val="1"/>
        <charset val="204"/>
      </rPr>
      <t>ос</t>
    </r>
  </si>
  <si>
    <r>
      <t>К</t>
    </r>
    <r>
      <rPr>
        <vertAlign val="subscript"/>
        <sz val="11"/>
        <color theme="1"/>
        <rFont val="Times New Roman"/>
        <family val="1"/>
        <charset val="204"/>
      </rPr>
      <t xml:space="preserve">ос </t>
    </r>
    <r>
      <rPr>
        <sz val="11"/>
        <color theme="1"/>
        <rFont val="Times New Roman"/>
        <family val="1"/>
        <charset val="204"/>
      </rPr>
      <t>&gt;0,3</t>
    </r>
  </si>
  <si>
    <r>
      <t>Коэффицент реальных активов в имуществе предприятия К</t>
    </r>
    <r>
      <rPr>
        <vertAlign val="subscript"/>
        <sz val="10"/>
        <color theme="1"/>
        <rFont val="Times New Roman"/>
        <family val="1"/>
        <charset val="204"/>
      </rPr>
      <t>ра</t>
    </r>
  </si>
  <si>
    <r>
      <t>К</t>
    </r>
    <r>
      <rPr>
        <vertAlign val="subscript"/>
        <sz val="11"/>
        <color theme="1"/>
        <rFont val="Times New Roman"/>
        <family val="1"/>
        <charset val="204"/>
      </rPr>
      <t>ра</t>
    </r>
    <r>
      <rPr>
        <sz val="11"/>
        <color theme="1"/>
        <rFont val="Times New Roman"/>
        <family val="1"/>
        <charset val="204"/>
      </rPr>
      <t>≥0,5</t>
    </r>
  </si>
  <si>
    <r>
      <t xml:space="preserve">Диагностика экономических результатов работы предприятия 
</t>
    </r>
    <r>
      <rPr>
        <sz val="10"/>
        <color theme="1"/>
        <rFont val="Times New Roman"/>
        <family val="1"/>
        <charset val="204"/>
      </rPr>
      <t>(расчет по данным формы №2)</t>
    </r>
  </si>
  <si>
    <t>тыс. руб.</t>
  </si>
  <si>
    <t>%</t>
  </si>
  <si>
    <t>1. Всего доходов и поступлений (стр.010+060+080+090+120+170)</t>
  </si>
  <si>
    <t>2. Общие расходы (стр.020+030+040+070+100+130+180)</t>
  </si>
  <si>
    <t>3. Выручка от продаж (стр.010)</t>
  </si>
  <si>
    <t>4. Затраты на производство и сбыт продукции, 
всего</t>
  </si>
  <si>
    <t>в том числе:
  себестоимость продукции (стр.020)</t>
  </si>
  <si>
    <t xml:space="preserve">  коммерческие расходы (стр.030)</t>
  </si>
  <si>
    <t xml:space="preserve">  управленческие расходы (стр.040)</t>
  </si>
  <si>
    <t>5. Прибыль (убыток) от продаж (стр.050)</t>
  </si>
  <si>
    <t>7. Расходы по операциям финансового характера (стр.070)</t>
  </si>
  <si>
    <t>6. Доходы по операциям финансового характера (стр.060+080)</t>
  </si>
  <si>
    <t>8. Прочие доходы (стр.090+120+170)</t>
  </si>
  <si>
    <t>9. Прочие расходы (стр.130+180)</t>
  </si>
  <si>
    <t>12. Чистая прибыль (стр.190)</t>
  </si>
  <si>
    <t>10. Прибыль (убыток) до налогообложения (стр.140)</t>
  </si>
  <si>
    <t>Показатели и коды строк по отчету о прибылях и убытках</t>
  </si>
  <si>
    <t>Оценка доходности продаж продукции и услуг</t>
  </si>
  <si>
    <t>Отклонение (+,-)</t>
  </si>
  <si>
    <t>Выручка от продаж продукции (работ, услуг), тыс. руб.</t>
  </si>
  <si>
    <t>Полная себестоимость проданной продукции, тыс. руб.</t>
  </si>
  <si>
    <t>Прибыль от продаж, тыс. руб. (стр.01-стр.02)</t>
  </si>
  <si>
    <t>Величина активов, тыс. руб.</t>
  </si>
  <si>
    <t>Рентабельность активов, %
(стр.03 : стр.05)х100</t>
  </si>
  <si>
    <t>Изменение (+,-)</t>
  </si>
  <si>
    <t>Анализ рентабельности использования основных производственных средств и средств, авансированных в производственные ресурсы</t>
  </si>
  <si>
    <t>Валовая прибыль, тыс. руб.</t>
  </si>
  <si>
    <t>Среднегодовая стоимость основных производственных средств, тыс.руб.</t>
  </si>
  <si>
    <t>Среднегодовая стоимость материальных оборотных средств, тыс. руб.</t>
  </si>
  <si>
    <t>Затраты на оплату труда, тыс. руб.</t>
  </si>
  <si>
    <t>Объем продаж продукции, тыс. руб.</t>
  </si>
  <si>
    <t>Величина валовой прибыли на 1 руб. продаж, руб.</t>
  </si>
  <si>
    <t>Коэффициент оборачиваемости материальных оборотных средств</t>
  </si>
  <si>
    <t xml:space="preserve">  - средств, авансированных в производственные ресурсы</t>
  </si>
  <si>
    <t>Рентабельность. %
  - основных производственных средств</t>
  </si>
  <si>
    <t>Фондоотдача, руб./руб.</t>
  </si>
  <si>
    <t>Анализ рентабельности использования капитала</t>
  </si>
  <si>
    <t>Источник информации или формула расчета</t>
  </si>
  <si>
    <t>Текущие активы, тыс. руб.</t>
  </si>
  <si>
    <t>Долгосрочные обязательства, тыс. руб.</t>
  </si>
  <si>
    <t>Выручка от продаж продукции, тыс. руб.</t>
  </si>
  <si>
    <t>Прибыль от продаж, тыс. руб.</t>
  </si>
  <si>
    <t>Чистая прибыль, тыс. руб.</t>
  </si>
  <si>
    <t>Затраты на производство и реализацию продукции, тыс. руб.</t>
  </si>
  <si>
    <t xml:space="preserve">     - текущих активов</t>
  </si>
  <si>
    <t>Рентабельность, %:
     - капитала</t>
  </si>
  <si>
    <t xml:space="preserve">     - собственного капитала</t>
  </si>
  <si>
    <t xml:space="preserve">     - инвестиций</t>
  </si>
  <si>
    <t xml:space="preserve">     - продукции</t>
  </si>
  <si>
    <t>Доходность продаж, %</t>
  </si>
  <si>
    <t>ф.№1, стр.300</t>
  </si>
  <si>
    <t>ф.№1, стр.290</t>
  </si>
  <si>
    <t>ф.№1, стр.490</t>
  </si>
  <si>
    <t>ф.№1, стр.590</t>
  </si>
  <si>
    <t>ф.№2, стр.010</t>
  </si>
  <si>
    <t>ф.№2, стр.050</t>
  </si>
  <si>
    <t>ф.№2, стр.140</t>
  </si>
  <si>
    <t>ф.№2, стр.190</t>
  </si>
  <si>
    <t>ф.№2, стр.020+стр.030+стр.040</t>
  </si>
  <si>
    <t>(стр.08:стр.01)х100</t>
  </si>
  <si>
    <t>(стр.08:стр.02)х100</t>
  </si>
  <si>
    <t>(стр.08:стр.03)х100</t>
  </si>
  <si>
    <t>[стр.07:(стр.03+стр.04)]х100</t>
  </si>
  <si>
    <t>(стр.06:стр.09)х100</t>
  </si>
  <si>
    <t>(стр.08:стр.05)х100</t>
  </si>
  <si>
    <t>Источники собственных средств, тыс. руб.</t>
  </si>
  <si>
    <t>Прибыль до налогообложения, тыс. руб.</t>
  </si>
  <si>
    <t>Годы</t>
  </si>
  <si>
    <t>Коэффициент оборачиваемости, обороты:
     всех активов</t>
  </si>
  <si>
    <t xml:space="preserve">     собственного капитала</t>
  </si>
  <si>
    <t xml:space="preserve">     основных средств (отдача)</t>
  </si>
  <si>
    <t xml:space="preserve">     оборотных активов</t>
  </si>
  <si>
    <t xml:space="preserve">     материальных средств (материалоотдача)</t>
  </si>
  <si>
    <t>Длительность одного оборота, дни:
     материальных запасов</t>
  </si>
  <si>
    <t xml:space="preserve">     погашение кредиторской задолженности</t>
  </si>
  <si>
    <t>Производительность труда, тыс. руб./чел.</t>
  </si>
  <si>
    <t>Средняя годовая заработная плата работающего, тыс. руб.</t>
  </si>
  <si>
    <t>Изменение показателей отчетного года</t>
  </si>
  <si>
    <t>Наименование</t>
  </si>
  <si>
    <t>Обозначение</t>
  </si>
  <si>
    <t>Ед. измерения</t>
  </si>
  <si>
    <t>Величина</t>
  </si>
  <si>
    <t>Изменение объема выручки от продаж продукции за счет факторов:</t>
  </si>
  <si>
    <t xml:space="preserve">     изменения материалоотдачи</t>
  </si>
  <si>
    <t xml:space="preserve">     изменения производительности труда</t>
  </si>
  <si>
    <t>Относительная экономия:</t>
  </si>
  <si>
    <t xml:space="preserve">     численности персонала</t>
  </si>
  <si>
    <t xml:space="preserve">     затрат на оплату труда</t>
  </si>
  <si>
    <t xml:space="preserve">     материальных затрат</t>
  </si>
  <si>
    <t>Совокупный показатель относительной экономии</t>
  </si>
  <si>
    <t>Результаты оценки индикаторов деловой активности</t>
  </si>
  <si>
    <t xml:space="preserve">     погашения дебиторской задолженности</t>
  </si>
  <si>
    <t xml:space="preserve">     основных средств</t>
  </si>
  <si>
    <t>человек</t>
  </si>
  <si>
    <t>∆B(f)</t>
  </si>
  <si>
    <t>∆B(µ)</t>
  </si>
  <si>
    <t>∆B(n)</t>
  </si>
  <si>
    <r>
      <t>∆Р</t>
    </r>
    <r>
      <rPr>
        <i/>
        <sz val="8"/>
        <color theme="1"/>
        <rFont val="Times New Roman"/>
        <family val="1"/>
        <charset val="204"/>
      </rPr>
      <t>о.т.</t>
    </r>
  </si>
  <si>
    <t>∆Зо.т.</t>
  </si>
  <si>
    <t>∆Мо.т.</t>
  </si>
  <si>
    <t>∆ОФо.т.</t>
  </si>
  <si>
    <t>∆Rсов.</t>
  </si>
  <si>
    <t>-</t>
  </si>
  <si>
    <t>всавить свои цифры</t>
  </si>
  <si>
    <t>всавлены формулы(считает автоматом)</t>
  </si>
  <si>
    <t>по расчету (стр.07 табл.4)</t>
  </si>
  <si>
    <t>Обеспеченность предприятия собственными оборотными средствами</t>
  </si>
  <si>
    <t xml:space="preserve"> формула</t>
  </si>
  <si>
    <t>Средства, приравненные к собственным средствам (стр.630+640+650-216 баланса)</t>
  </si>
  <si>
    <t>Наличие собственных и долгосрочных заёмных источников формирования средств (стр.04 + стр.05)</t>
  </si>
  <si>
    <t>Сумма высвобожденных (-) или дополнительно привлеченных (+) оборотных средств по сравнению с предыдущим годом, тыс. руб. (стр.07 гр.6(7) х стр.03 гр.4(5))</t>
  </si>
  <si>
    <t>формулы</t>
  </si>
  <si>
    <t>Коэффициент абсолютной ликвидности, (стр.02 : стр.01)</t>
  </si>
  <si>
    <t>2007 год</t>
  </si>
  <si>
    <t>2008 год</t>
  </si>
  <si>
    <t>2009 год</t>
  </si>
  <si>
    <t>Отклонение 2008 года от 2007  (+,-)</t>
  </si>
  <si>
    <t>Отклонение 2009 года от 2008 (+,-)</t>
  </si>
  <si>
    <t>Средняя стоимость остатков оборотных средств, * тыс. руб.</t>
  </si>
  <si>
    <t>11. Налог на прибыль и др. обязат. Платежи (стр.150)</t>
  </si>
  <si>
    <t>Для расчета граф 3;5</t>
  </si>
  <si>
    <r>
      <rPr>
        <b/>
        <i/>
        <vertAlign val="superscript"/>
        <sz val="11"/>
        <color theme="1"/>
        <rFont val="Calibri"/>
        <family val="2"/>
        <charset val="204"/>
        <scheme val="minor"/>
      </rPr>
      <t>1</t>
    </r>
    <r>
      <rPr>
        <b/>
        <i/>
        <sz val="11"/>
        <color theme="1"/>
        <rFont val="Calibri"/>
        <family val="2"/>
        <charset val="204"/>
        <scheme val="minor"/>
      </rPr>
      <t xml:space="preserve"> в процентах к стр.1</t>
    </r>
  </si>
  <si>
    <r>
      <rPr>
        <b/>
        <i/>
        <vertAlign val="superscript"/>
        <sz val="11"/>
        <color theme="1"/>
        <rFont val="Calibri"/>
        <family val="2"/>
        <charset val="204"/>
        <scheme val="minor"/>
      </rPr>
      <t>2</t>
    </r>
    <r>
      <rPr>
        <b/>
        <i/>
        <sz val="11"/>
        <color theme="1"/>
        <rFont val="Calibri"/>
        <family val="2"/>
        <charset val="204"/>
        <scheme val="minor"/>
      </rPr>
      <t xml:space="preserve"> в процентах к стр.4</t>
    </r>
  </si>
  <si>
    <r>
      <rPr>
        <b/>
        <i/>
        <vertAlign val="superscript"/>
        <sz val="11"/>
        <color theme="1"/>
        <rFont val="Calibri"/>
        <family val="2"/>
        <charset val="204"/>
        <scheme val="minor"/>
      </rPr>
      <t>3</t>
    </r>
    <r>
      <rPr>
        <b/>
        <i/>
        <sz val="11"/>
        <color theme="1"/>
        <rFont val="Calibri"/>
        <family val="2"/>
        <charset val="204"/>
        <scheme val="minor"/>
      </rPr>
      <t xml:space="preserve"> в процентах к стр.3</t>
    </r>
  </si>
  <si>
    <r>
      <rPr>
        <b/>
        <i/>
        <vertAlign val="superscript"/>
        <sz val="11"/>
        <color theme="1"/>
        <rFont val="Calibri"/>
        <family val="2"/>
        <charset val="204"/>
        <scheme val="minor"/>
      </rPr>
      <t>4</t>
    </r>
    <r>
      <rPr>
        <b/>
        <i/>
        <sz val="11"/>
        <color theme="1"/>
        <rFont val="Calibri"/>
        <family val="2"/>
        <charset val="204"/>
        <scheme val="minor"/>
      </rPr>
      <t xml:space="preserve"> в процентах к стр.2</t>
    </r>
  </si>
  <si>
    <r>
      <rPr>
        <b/>
        <i/>
        <vertAlign val="superscript"/>
        <sz val="11"/>
        <color theme="1"/>
        <rFont val="Calibri"/>
        <family val="2"/>
        <charset val="204"/>
        <scheme val="minor"/>
      </rPr>
      <t>5</t>
    </r>
    <r>
      <rPr>
        <b/>
        <i/>
        <sz val="11"/>
        <color theme="1"/>
        <rFont val="Calibri"/>
        <family val="2"/>
        <charset val="204"/>
        <scheme val="minor"/>
      </rPr>
      <t xml:space="preserve"> в процентах к стр.10</t>
    </r>
  </si>
  <si>
    <t>Доходность продаж, %
(стр.03 : стр.01) х 100</t>
  </si>
  <si>
    <t>Коэффициент оборачиваемости активов, обороты (стр.01 : стр.05)</t>
  </si>
  <si>
    <t>выручка - табл.10, №3</t>
  </si>
  <si>
    <t>себ-ть - таб.10, №4</t>
  </si>
  <si>
    <t>активы - стр.300 баланса</t>
  </si>
  <si>
    <t>стр.05 = выручка от продаж за минусом НДС (табл. 6, стр. 01)</t>
  </si>
  <si>
    <t>фондоотдача =  объем продаж / на среднегодовая ст-сть ОС.</t>
  </si>
  <si>
    <t>стр. 10 = (прибыль / (Офср + Оср + Зп))*100</t>
  </si>
  <si>
    <t xml:space="preserve">     изменения фондоотдачи основных средств </t>
  </si>
  <si>
    <t>формула к 01 = выручка от продажи / всего активов</t>
  </si>
  <si>
    <t>к 03 = 01/ 04</t>
  </si>
  <si>
    <t>к 05 = 01/06</t>
  </si>
  <si>
    <t>к 10 = исх. Дан. 10/11</t>
  </si>
  <si>
    <t>к 09 = исх.дан (выручка от продаж / численность рабочих</t>
  </si>
  <si>
    <t>∆B=изменения*отчетный год</t>
  </si>
  <si>
    <t>формула к 02 = выручка от продаж / собственный капитал</t>
  </si>
  <si>
    <t>к 04 = 01/04</t>
  </si>
  <si>
    <t>к 06,07,08 = исх. Дан. (06, 07,08 * 360) / выручка от продаж</t>
  </si>
  <si>
    <t>исходные данные к таблице№14</t>
  </si>
  <si>
    <t>Среднегодовая величина,, тыс.руб.</t>
  </si>
  <si>
    <t>Выручка от продажи продукции</t>
  </si>
  <si>
    <t>Валовая прибыль</t>
  </si>
  <si>
    <t>Задействовано активов (форма №1 стр.300)</t>
  </si>
  <si>
    <t>из них:
   основные средства (форма №1 стр.120)</t>
  </si>
  <si>
    <t xml:space="preserve">   оборотные активы (форма №1 стр. 290)</t>
  </si>
  <si>
    <t xml:space="preserve">   материальные средства (форма №1 стр.210)</t>
  </si>
  <si>
    <t xml:space="preserve">   краткосрочная дебиторская задолженность (форма №1 стр. 240)</t>
  </si>
  <si>
    <t>Кредиторская задолженность (форма №1 стр. 620)</t>
  </si>
  <si>
    <t>Собственный капитал (форма №1 стр. 490)</t>
  </si>
  <si>
    <t>Затраты по оплате труда (форма №5 стр. 720)</t>
  </si>
  <si>
    <t>Численность работающих, чел.</t>
  </si>
  <si>
    <t>Удельный вес в общих затратах предприятия:
   материальных затрат</t>
  </si>
  <si>
    <t xml:space="preserve">   амортизация основных средств</t>
  </si>
  <si>
    <t xml:space="preserve">   затраты на оплату труда</t>
  </si>
  <si>
    <t>стр. 11 - примерно из справки - характеристики</t>
  </si>
  <si>
    <t>стр.04 = Приложение к б/балансу стр.720</t>
  </si>
  <si>
    <t>стр.03 = стр.211 баланса</t>
  </si>
  <si>
    <t>стр.02 = стр.120 баланса</t>
  </si>
  <si>
    <t>стр.01 = таб.11 стр.03</t>
  </si>
  <si>
    <t>2007г.</t>
  </si>
  <si>
    <t>2008г.</t>
  </si>
  <si>
    <t>2009г.</t>
  </si>
  <si>
    <t>Приложение 1.</t>
  </si>
  <si>
    <t>Приложение 2.</t>
  </si>
  <si>
    <t>2008г. к 2007г.</t>
  </si>
  <si>
    <t>2009г. к 2008г.</t>
  </si>
  <si>
    <t>Приложение 5.</t>
  </si>
  <si>
    <t>Таблица 3.3</t>
  </si>
  <si>
    <t>Наименование инвестиционных затрат</t>
  </si>
  <si>
    <r>
      <t>Стоимость на м</t>
    </r>
    <r>
      <rPr>
        <vertAlign val="superscript"/>
        <sz val="14"/>
        <color theme="1"/>
        <rFont val="Times New Roman"/>
        <family val="1"/>
        <charset val="204"/>
      </rPr>
      <t>2</t>
    </r>
    <r>
      <rPr>
        <sz val="14"/>
        <color theme="1"/>
        <rFont val="Times New Roman"/>
        <family val="1"/>
        <charset val="204"/>
      </rPr>
      <t>, руб.</t>
    </r>
  </si>
  <si>
    <t>Затраты на ремонтные работы (торгового зала, складских помещений, офиса)</t>
  </si>
  <si>
    <t>Затраты на отделочные материалы</t>
  </si>
  <si>
    <t>Прочие строительные расходы (установка технических систем) с учетом непредвиденных расходов</t>
  </si>
  <si>
    <t>Итого</t>
  </si>
  <si>
    <t>Наименование оборудования</t>
  </si>
  <si>
    <t xml:space="preserve">Торговое оборудование </t>
  </si>
  <si>
    <t>Вывески</t>
  </si>
  <si>
    <t>Оргтехника</t>
  </si>
  <si>
    <t>Складское оборудование</t>
  </si>
  <si>
    <t>Офисное оборудование (мебель, бытовая техника)</t>
  </si>
  <si>
    <t>Оргтехника офисных помещений</t>
  </si>
  <si>
    <t>Охранная сигнализация (оборудование, установка)</t>
  </si>
  <si>
    <t>Таблица 3.4</t>
  </si>
  <si>
    <t>Сумма, руб.</t>
  </si>
  <si>
    <t>Вид затрат</t>
  </si>
  <si>
    <t>Материальные затраты</t>
  </si>
  <si>
    <t>Заработная плата (в соответствии со штатным расписанием)</t>
  </si>
  <si>
    <t>Отчисления на социальные нужды</t>
  </si>
  <si>
    <t xml:space="preserve">Амортизационные отчисления </t>
  </si>
  <si>
    <t xml:space="preserve">Прочие расходы </t>
  </si>
  <si>
    <t>Таблица 3.5</t>
  </si>
  <si>
    <t>Расчет текущих затрат</t>
  </si>
  <si>
    <r>
      <t>Инвестиционный бюджет на подготовку торгового помещения площадью 180 м</t>
    </r>
    <r>
      <rPr>
        <b/>
        <vertAlign val="superscript"/>
        <sz val="14"/>
        <color theme="1"/>
        <rFont val="Times New Roman"/>
        <family val="1"/>
        <charset val="204"/>
      </rPr>
      <t>2</t>
    </r>
  </si>
  <si>
    <r>
      <t>Расчет инвестиций в оборудование м</t>
    </r>
    <r>
      <rPr>
        <b/>
        <vertAlign val="superscript"/>
        <sz val="14"/>
        <color theme="1"/>
        <rFont val="Times New Roman"/>
        <family val="1"/>
        <charset val="204"/>
      </rPr>
      <t>2</t>
    </r>
  </si>
  <si>
    <t>Стоимость ед. изм., руб.</t>
  </si>
  <si>
    <r>
      <t>Количество ед., м</t>
    </r>
    <r>
      <rPr>
        <vertAlign val="superscript"/>
        <sz val="14"/>
        <color theme="1"/>
        <rFont val="Times New Roman"/>
        <family val="1"/>
        <charset val="204"/>
      </rPr>
      <t>2</t>
    </r>
  </si>
  <si>
    <t>Профессия</t>
  </si>
  <si>
    <t>Среднегодовая численность работников</t>
  </si>
  <si>
    <t>Должностной оклад в месяц</t>
  </si>
  <si>
    <t>Сумма з\п в год</t>
  </si>
  <si>
    <t>ИТОГО:</t>
  </si>
  <si>
    <t>Заместитель директора</t>
  </si>
  <si>
    <t>Кассир-продавец</t>
  </si>
  <si>
    <t>Водитель-грузчик</t>
  </si>
  <si>
    <t>Таблица 3.6</t>
  </si>
  <si>
    <t>Штатно-должностное расписание магазина "ЛЕКО", руб.</t>
  </si>
  <si>
    <t>Здание магазина</t>
  </si>
  <si>
    <t>Оргтехника (всего)</t>
  </si>
  <si>
    <t xml:space="preserve">Торговое и складское оборудование </t>
  </si>
  <si>
    <t>Итого:</t>
  </si>
  <si>
    <t>Таблица 3.7</t>
  </si>
  <si>
    <t>Срок полезного использования в годах</t>
  </si>
  <si>
    <t>Срок полезного использования в месяцах</t>
  </si>
  <si>
    <t>Норма амортизации в %</t>
  </si>
  <si>
    <t>Расчет амортизационных отчислений</t>
  </si>
  <si>
    <t>Сумма амортизации в месяц, руб.</t>
  </si>
  <si>
    <t>Стоимость объекта, руб.</t>
  </si>
  <si>
    <t>Показатель</t>
  </si>
  <si>
    <t>Товарооборот</t>
  </si>
  <si>
    <t>Налоги и отчисления с выручки (налог с продаж – 15%, НДС – 18%)</t>
  </si>
  <si>
    <t>Себестоимость товаров (с учетом скидки в размере 47%)</t>
  </si>
  <si>
    <t>Текущие издержки</t>
  </si>
  <si>
    <t>Прибыль</t>
  </si>
  <si>
    <t>Налоги из прибыли (отчисления единым платежом – 1%, налог на прибыль – 24%)</t>
  </si>
  <si>
    <t>Чистая прибыль</t>
  </si>
  <si>
    <t>Сумма за месяц, руб.</t>
  </si>
  <si>
    <t>Сумма за год, руб.</t>
  </si>
  <si>
    <t>Ед. изм</t>
  </si>
  <si>
    <t>План на первый год</t>
  </si>
  <si>
    <t>Годовой товарооборот</t>
  </si>
  <si>
    <t>тыс. руб</t>
  </si>
  <si>
    <t>Численность работников предприятия</t>
  </si>
  <si>
    <t>Валовый доход</t>
  </si>
  <si>
    <t>в процентах к товарообороту</t>
  </si>
  <si>
    <t>Издержки производства и обращения</t>
  </si>
  <si>
    <t>Фонд оплаты труда</t>
  </si>
  <si>
    <t>Фонд заработной платы одного работника в месяц</t>
  </si>
  <si>
    <t>руб.</t>
  </si>
  <si>
    <t>Рентабельность</t>
  </si>
  <si>
    <t>% к т/о</t>
  </si>
  <si>
    <t>ВД= вся выручка за минусом ндс</t>
  </si>
  <si>
    <t>Сводная таблица основных экономических показателей</t>
  </si>
  <si>
    <t>Таблица 3.8</t>
  </si>
  <si>
    <t>Электроэнергия</t>
  </si>
  <si>
    <t>Сводная смета расходов и калькуляции себестоимости на плановый период (2010 - 2012гг.)</t>
  </si>
  <si>
    <t>Наименование показателей</t>
  </si>
  <si>
    <t>2010 год</t>
  </si>
  <si>
    <t>2011 год</t>
  </si>
  <si>
    <t>2012 год</t>
  </si>
  <si>
    <t>1. Объем продаж без НДС, всего</t>
  </si>
  <si>
    <t>2. Себестоимость, всего, в том числе</t>
  </si>
  <si>
    <t xml:space="preserve">  Материальные затраты</t>
  </si>
  <si>
    <t xml:space="preserve">  Заработная плата</t>
  </si>
  <si>
    <t xml:space="preserve">  Отчисления на страховые взносы</t>
  </si>
  <si>
    <t xml:space="preserve">  Амортизационные отчисления </t>
  </si>
  <si>
    <t xml:space="preserve">  Прочие затраты</t>
  </si>
  <si>
    <t xml:space="preserve">  Электроэнергия</t>
  </si>
  <si>
    <t xml:space="preserve">  Затраты на подготовку торгового помещения </t>
  </si>
  <si>
    <t xml:space="preserve">  Затраты на оборудование в помещение </t>
  </si>
  <si>
    <t xml:space="preserve">  Здание</t>
  </si>
  <si>
    <t>3. Прибыль от продаж</t>
  </si>
  <si>
    <t>4. Операционные доходы и расходы</t>
  </si>
  <si>
    <t>5. Внереализационные доходы и расходы</t>
  </si>
  <si>
    <t>Внереализационные доходы</t>
  </si>
  <si>
    <t>Внереализационные расходы</t>
  </si>
  <si>
    <t>6. Прибыль до налогообложения</t>
  </si>
  <si>
    <t>7. Налог на прибыль</t>
  </si>
  <si>
    <t>8. Прибыль от обычной деятельности</t>
  </si>
  <si>
    <t>Р</t>
  </si>
  <si>
    <t xml:space="preserve">Т </t>
  </si>
  <si>
    <t>дней</t>
  </si>
  <si>
    <t>месяцев</t>
  </si>
  <si>
    <t>срок окупаемости</t>
  </si>
  <si>
    <t>Объем продаж, всего</t>
  </si>
  <si>
    <t>2010г.</t>
  </si>
  <si>
    <t>2011г.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</si>
</sst>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0.0"/>
    <numFmt numFmtId="165" formatCode="0.000"/>
    <numFmt numFmtId="166" formatCode="0.0000"/>
    <numFmt numFmtId="167" formatCode="_-* #,##0_р_._-;\-* #,##0_р_._-;_-* &quot;-&quot;??_р_._-;_-@_-"/>
  </numFmts>
  <fonts count="28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vertAlign val="subscript"/>
      <sz val="10"/>
      <color theme="1"/>
      <name val="Times New Roman"/>
      <family val="1"/>
      <charset val="204"/>
    </font>
    <font>
      <vertAlign val="subscript"/>
      <sz val="11"/>
      <color theme="1"/>
      <name val="Times New Roman"/>
      <family val="1"/>
      <charset val="204"/>
    </font>
    <font>
      <vertAlign val="subscript"/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u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i/>
      <vertAlign val="superscript"/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b/>
      <vertAlign val="superscript"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4" fillId="0" borderId="0" applyFont="0" applyFill="0" applyBorder="0" applyAlignment="0" applyProtection="0"/>
  </cellStyleXfs>
  <cellXfs count="403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left" vertical="center" wrapText="1"/>
    </xf>
    <xf numFmtId="0" fontId="1" fillId="0" borderId="0" xfId="0" applyFont="1"/>
    <xf numFmtId="0" fontId="0" fillId="0" borderId="0" xfId="0" applyAlignment="1">
      <alignment horizontal="center" vertical="center"/>
    </xf>
    <xf numFmtId="0" fontId="2" fillId="0" borderId="0" xfId="0" applyFont="1"/>
    <xf numFmtId="0" fontId="3" fillId="0" borderId="10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49" fontId="2" fillId="0" borderId="7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25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49" fontId="2" fillId="0" borderId="10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right" vertical="center" wrapText="1"/>
    </xf>
    <xf numFmtId="0" fontId="2" fillId="0" borderId="14" xfId="0" applyFont="1" applyBorder="1" applyAlignment="1">
      <alignment horizontal="right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right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right" vertical="center" wrapText="1"/>
    </xf>
    <xf numFmtId="0" fontId="3" fillId="0" borderId="14" xfId="0" applyFont="1" applyBorder="1" applyAlignment="1">
      <alignment horizontal="right" vertical="center" wrapText="1"/>
    </xf>
    <xf numFmtId="0" fontId="3" fillId="0" borderId="14" xfId="0" applyFont="1" applyFill="1" applyBorder="1" applyAlignment="1">
      <alignment horizontal="right" vertical="center" wrapText="1"/>
    </xf>
    <xf numFmtId="0" fontId="7" fillId="0" borderId="24" xfId="0" applyFont="1" applyFill="1" applyBorder="1" applyAlignment="1">
      <alignment horizontal="right" vertical="center" wrapText="1"/>
    </xf>
    <xf numFmtId="0" fontId="7" fillId="0" borderId="24" xfId="0" applyFont="1" applyFill="1" applyBorder="1" applyAlignment="1">
      <alignment horizontal="left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3" fillId="0" borderId="31" xfId="0" applyFont="1" applyBorder="1" applyAlignment="1">
      <alignment horizontal="left" vertical="center" wrapText="1"/>
    </xf>
    <xf numFmtId="0" fontId="7" fillId="2" borderId="24" xfId="0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right" vertical="center" wrapText="1"/>
    </xf>
    <xf numFmtId="0" fontId="3" fillId="2" borderId="14" xfId="0" applyFont="1" applyFill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0" fontId="7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3" fillId="0" borderId="37" xfId="0" applyFont="1" applyBorder="1" applyAlignment="1">
      <alignment horizontal="left" vertical="center" wrapText="1"/>
    </xf>
    <xf numFmtId="0" fontId="3" fillId="0" borderId="38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3" fillId="0" borderId="4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 wrapText="1"/>
    </xf>
    <xf numFmtId="0" fontId="2" fillId="5" borderId="19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2" fillId="4" borderId="10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2" fontId="2" fillId="5" borderId="18" xfId="0" applyNumberFormat="1" applyFont="1" applyFill="1" applyBorder="1" applyAlignment="1">
      <alignment horizontal="center" vertical="center"/>
    </xf>
    <xf numFmtId="2" fontId="2" fillId="5" borderId="1" xfId="0" applyNumberFormat="1" applyFont="1" applyFill="1" applyBorder="1" applyAlignment="1">
      <alignment horizontal="center" vertical="center"/>
    </xf>
    <xf numFmtId="2" fontId="2" fillId="5" borderId="10" xfId="0" applyNumberFormat="1" applyFont="1" applyFill="1" applyBorder="1" applyAlignment="1">
      <alignment horizontal="center" vertical="center"/>
    </xf>
    <xf numFmtId="0" fontId="0" fillId="7" borderId="1" xfId="0" applyFill="1" applyBorder="1" applyAlignment="1">
      <alignment horizontal="left" vertical="center" wrapText="1"/>
    </xf>
    <xf numFmtId="0" fontId="3" fillId="7" borderId="10" xfId="0" applyFont="1" applyFill="1" applyBorder="1" applyAlignment="1">
      <alignment horizontal="center" vertical="center" wrapText="1"/>
    </xf>
    <xf numFmtId="0" fontId="3" fillId="7" borderId="17" xfId="0" applyFont="1" applyFill="1" applyBorder="1" applyAlignment="1">
      <alignment horizontal="center" vertical="center" wrapText="1"/>
    </xf>
    <xf numFmtId="0" fontId="3" fillId="7" borderId="11" xfId="0" applyFont="1" applyFill="1" applyBorder="1" applyAlignment="1">
      <alignment horizontal="center" vertical="center" wrapText="1"/>
    </xf>
    <xf numFmtId="0" fontId="2" fillId="7" borderId="19" xfId="0" applyFont="1" applyFill="1" applyBorder="1" applyAlignment="1">
      <alignment horizontal="center" vertical="center"/>
    </xf>
    <xf numFmtId="0" fontId="2" fillId="7" borderId="34" xfId="0" applyFont="1" applyFill="1" applyBorder="1" applyAlignment="1">
      <alignment horizontal="center" vertical="center"/>
    </xf>
    <xf numFmtId="0" fontId="2" fillId="7" borderId="35" xfId="0" applyFont="1" applyFill="1" applyBorder="1" applyAlignment="1">
      <alignment horizontal="center" vertical="center"/>
    </xf>
    <xf numFmtId="2" fontId="2" fillId="7" borderId="7" xfId="0" applyNumberFormat="1" applyFont="1" applyFill="1" applyBorder="1" applyAlignment="1">
      <alignment horizontal="center" vertical="center"/>
    </xf>
    <xf numFmtId="2" fontId="2" fillId="7" borderId="16" xfId="0" applyNumberFormat="1" applyFont="1" applyFill="1" applyBorder="1" applyAlignment="1">
      <alignment horizontal="center" vertical="center"/>
    </xf>
    <xf numFmtId="2" fontId="2" fillId="7" borderId="8" xfId="0" applyNumberFormat="1" applyFont="1" applyFill="1" applyBorder="1" applyAlignment="1">
      <alignment horizontal="center" vertical="center"/>
    </xf>
    <xf numFmtId="2" fontId="2" fillId="7" borderId="1" xfId="0" applyNumberFormat="1" applyFont="1" applyFill="1" applyBorder="1" applyAlignment="1">
      <alignment horizontal="center" vertical="center"/>
    </xf>
    <xf numFmtId="2" fontId="2" fillId="7" borderId="15" xfId="0" applyNumberFormat="1" applyFont="1" applyFill="1" applyBorder="1" applyAlignment="1">
      <alignment horizontal="center" vertical="center"/>
    </xf>
    <xf numFmtId="2" fontId="2" fillId="7" borderId="10" xfId="0" applyNumberFormat="1" applyFont="1" applyFill="1" applyBorder="1" applyAlignment="1">
      <alignment horizontal="center" vertical="center"/>
    </xf>
    <xf numFmtId="2" fontId="2" fillId="7" borderId="11" xfId="0" applyNumberFormat="1" applyFont="1" applyFill="1" applyBorder="1" applyAlignment="1">
      <alignment horizontal="center" vertical="center"/>
    </xf>
    <xf numFmtId="0" fontId="2" fillId="7" borderId="29" xfId="0" applyFont="1" applyFill="1" applyBorder="1" applyAlignment="1">
      <alignment horizontal="center" vertical="center" wrapText="1"/>
    </xf>
    <xf numFmtId="0" fontId="2" fillId="5" borderId="29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2" fillId="4" borderId="29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2" fontId="2" fillId="7" borderId="2" xfId="0" applyNumberFormat="1" applyFont="1" applyFill="1" applyBorder="1" applyAlignment="1">
      <alignment horizontal="center" vertical="center"/>
    </xf>
    <xf numFmtId="2" fontId="2" fillId="7" borderId="26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2" fontId="2" fillId="5" borderId="2" xfId="0" applyNumberFormat="1" applyFont="1" applyFill="1" applyBorder="1" applyAlignment="1">
      <alignment horizontal="center" vertical="center"/>
    </xf>
    <xf numFmtId="0" fontId="2" fillId="7" borderId="3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0" fontId="2" fillId="4" borderId="45" xfId="0" applyFont="1" applyFill="1" applyBorder="1" applyAlignment="1">
      <alignment horizontal="center" vertical="center" wrapText="1"/>
    </xf>
    <xf numFmtId="0" fontId="2" fillId="4" borderId="30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4" borderId="35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164" fontId="2" fillId="4" borderId="4" xfId="0" applyNumberFormat="1" applyFont="1" applyFill="1" applyBorder="1" applyAlignment="1">
      <alignment horizontal="center" vertical="center" wrapText="1"/>
    </xf>
    <xf numFmtId="164" fontId="2" fillId="4" borderId="15" xfId="0" applyNumberFormat="1" applyFont="1" applyFill="1" applyBorder="1" applyAlignment="1">
      <alignment horizontal="center" vertical="center" wrapText="1"/>
    </xf>
    <xf numFmtId="2" fontId="2" fillId="4" borderId="15" xfId="0" applyNumberFormat="1" applyFont="1" applyFill="1" applyBorder="1" applyAlignment="1">
      <alignment horizontal="center" vertical="center" wrapText="1"/>
    </xf>
    <xf numFmtId="2" fontId="2" fillId="4" borderId="11" xfId="0" applyNumberFormat="1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0" fillId="5" borderId="0" xfId="0" applyFill="1"/>
    <xf numFmtId="49" fontId="2" fillId="0" borderId="0" xfId="0" applyNumberFormat="1" applyFont="1" applyFill="1" applyBorder="1" applyAlignment="1">
      <alignment horizontal="center" vertical="center" wrapText="1"/>
    </xf>
    <xf numFmtId="0" fontId="0" fillId="5" borderId="44" xfId="0" applyFill="1" applyBorder="1"/>
    <xf numFmtId="49" fontId="2" fillId="0" borderId="44" xfId="0" applyNumberFormat="1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2" fontId="2" fillId="4" borderId="3" xfId="0" applyNumberFormat="1" applyFont="1" applyFill="1" applyBorder="1" applyAlignment="1">
      <alignment horizontal="center" vertical="center"/>
    </xf>
    <xf numFmtId="2" fontId="2" fillId="4" borderId="13" xfId="0" applyNumberFormat="1" applyFont="1" applyFill="1" applyBorder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26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2" fontId="3" fillId="4" borderId="43" xfId="0" applyNumberFormat="1" applyFont="1" applyFill="1" applyBorder="1" applyAlignment="1">
      <alignment horizontal="center" vertical="center" wrapText="1"/>
    </xf>
    <xf numFmtId="2" fontId="3" fillId="4" borderId="13" xfId="0" applyNumberFormat="1" applyFont="1" applyFill="1" applyBorder="1" applyAlignment="1">
      <alignment horizontal="center" vertical="center" wrapText="1"/>
    </xf>
    <xf numFmtId="2" fontId="3" fillId="3" borderId="3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2" fontId="3" fillId="3" borderId="10" xfId="0" applyNumberFormat="1" applyFont="1" applyFill="1" applyBorder="1" applyAlignment="1">
      <alignment horizontal="center" vertical="center" wrapText="1"/>
    </xf>
    <xf numFmtId="0" fontId="2" fillId="4" borderId="27" xfId="0" applyFont="1" applyFill="1" applyBorder="1" applyAlignment="1">
      <alignment horizontal="center" vertical="center" wrapText="1"/>
    </xf>
    <xf numFmtId="165" fontId="2" fillId="5" borderId="1" xfId="0" applyNumberFormat="1" applyFont="1" applyFill="1" applyBorder="1" applyAlignment="1">
      <alignment horizontal="center" vertical="center" wrapText="1"/>
    </xf>
    <xf numFmtId="165" fontId="2" fillId="5" borderId="10" xfId="0" applyNumberFormat="1" applyFont="1" applyFill="1" applyBorder="1" applyAlignment="1">
      <alignment horizontal="center" vertical="center" wrapText="1"/>
    </xf>
    <xf numFmtId="2" fontId="2" fillId="4" borderId="10" xfId="0" applyNumberFormat="1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1" fontId="2" fillId="3" borderId="10" xfId="0" applyNumberFormat="1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2" fontId="2" fillId="9" borderId="1" xfId="0" applyNumberFormat="1" applyFont="1" applyFill="1" applyBorder="1" applyAlignment="1">
      <alignment horizontal="center" vertical="center" wrapText="1"/>
    </xf>
    <xf numFmtId="2" fontId="2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2" fontId="2" fillId="4" borderId="4" xfId="0" applyNumberFormat="1" applyFont="1" applyFill="1" applyBorder="1" applyAlignment="1">
      <alignment horizontal="center" vertical="center" wrapText="1"/>
    </xf>
    <xf numFmtId="1" fontId="2" fillId="4" borderId="4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2" fontId="2" fillId="5" borderId="10" xfId="0" applyNumberFormat="1" applyFont="1" applyFill="1" applyBorder="1" applyAlignment="1">
      <alignment horizontal="center" vertical="center" wrapText="1"/>
    </xf>
    <xf numFmtId="164" fontId="2" fillId="4" borderId="17" xfId="0" applyNumberFormat="1" applyFont="1" applyFill="1" applyBorder="1" applyAlignment="1">
      <alignment horizontal="center" vertical="center" wrapText="1"/>
    </xf>
    <xf numFmtId="2" fontId="2" fillId="4" borderId="17" xfId="0" applyNumberFormat="1" applyFont="1" applyFill="1" applyBorder="1" applyAlignment="1">
      <alignment horizontal="center" vertical="center" wrapText="1"/>
    </xf>
    <xf numFmtId="1" fontId="2" fillId="4" borderId="17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2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4" borderId="4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 wrapText="1"/>
    </xf>
    <xf numFmtId="2" fontId="2" fillId="4" borderId="43" xfId="0" applyNumberFormat="1" applyFont="1" applyFill="1" applyBorder="1" applyAlignment="1">
      <alignment horizontal="center" vertical="center" wrapText="1"/>
    </xf>
    <xf numFmtId="2" fontId="2" fillId="4" borderId="13" xfId="0" applyNumberFormat="1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left" vertical="center" wrapText="1"/>
    </xf>
    <xf numFmtId="2" fontId="2" fillId="6" borderId="10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165" fontId="2" fillId="4" borderId="43" xfId="0" applyNumberFormat="1" applyFont="1" applyFill="1" applyBorder="1" applyAlignment="1">
      <alignment horizontal="center" vertical="center" wrapText="1"/>
    </xf>
    <xf numFmtId="165" fontId="2" fillId="4" borderId="13" xfId="0" applyNumberFormat="1" applyFont="1" applyFill="1" applyBorder="1" applyAlignment="1">
      <alignment horizontal="center" vertical="center" wrapText="1"/>
    </xf>
    <xf numFmtId="49" fontId="2" fillId="5" borderId="1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2" fontId="2" fillId="0" borderId="10" xfId="0" applyNumberFormat="1" applyFont="1" applyBorder="1" applyAlignment="1">
      <alignment horizontal="center" vertical="center" wrapText="1"/>
    </xf>
    <xf numFmtId="2" fontId="2" fillId="0" borderId="1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" fontId="3" fillId="5" borderId="4" xfId="0" applyNumberFormat="1" applyFont="1" applyFill="1" applyBorder="1" applyAlignment="1">
      <alignment horizontal="center" vertical="center" wrapText="1"/>
    </xf>
    <xf numFmtId="1" fontId="2" fillId="5" borderId="15" xfId="0" applyNumberFormat="1" applyFont="1" applyFill="1" applyBorder="1" applyAlignment="1">
      <alignment horizontal="center" vertical="center" wrapText="1"/>
    </xf>
    <xf numFmtId="1" fontId="3" fillId="5" borderId="15" xfId="0" applyNumberFormat="1" applyFont="1" applyFill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2" fontId="2" fillId="0" borderId="15" xfId="0" applyNumberFormat="1" applyFont="1" applyBorder="1" applyAlignment="1">
      <alignment horizontal="center" vertical="center" wrapText="1"/>
    </xf>
    <xf numFmtId="2" fontId="3" fillId="5" borderId="4" xfId="0" applyNumberFormat="1" applyFont="1" applyFill="1" applyBorder="1" applyAlignment="1">
      <alignment horizontal="center" vertical="center" wrapText="1"/>
    </xf>
    <xf numFmtId="2" fontId="3" fillId="5" borderId="15" xfId="0" applyNumberFormat="1" applyFont="1" applyFill="1" applyBorder="1" applyAlignment="1">
      <alignment horizontal="center" vertical="center" wrapText="1"/>
    </xf>
    <xf numFmtId="2" fontId="3" fillId="5" borderId="17" xfId="0" applyNumberFormat="1" applyFont="1" applyFill="1" applyBorder="1" applyAlignment="1">
      <alignment horizontal="center" vertical="center" wrapText="1"/>
    </xf>
    <xf numFmtId="2" fontId="2" fillId="5" borderId="1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52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/>
    </xf>
    <xf numFmtId="165" fontId="2" fillId="4" borderId="1" xfId="0" applyNumberFormat="1" applyFont="1" applyFill="1" applyBorder="1" applyAlignment="1">
      <alignment horizontal="center" vertical="center" wrapText="1"/>
    </xf>
    <xf numFmtId="2" fontId="2" fillId="4" borderId="34" xfId="0" applyNumberFormat="1" applyFont="1" applyFill="1" applyBorder="1" applyAlignment="1">
      <alignment horizontal="center" vertical="center" wrapText="1"/>
    </xf>
    <xf numFmtId="2" fontId="2" fillId="4" borderId="35" xfId="0" applyNumberFormat="1" applyFont="1" applyFill="1" applyBorder="1" applyAlignment="1">
      <alignment horizontal="center" vertical="center" wrapText="1"/>
    </xf>
    <xf numFmtId="1" fontId="2" fillId="3" borderId="15" xfId="0" applyNumberFormat="1" applyFont="1" applyFill="1" applyBorder="1" applyAlignment="1">
      <alignment horizontal="center" vertical="center" wrapText="1"/>
    </xf>
    <xf numFmtId="0" fontId="19" fillId="0" borderId="5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3" fillId="11" borderId="14" xfId="0" applyFont="1" applyFill="1" applyBorder="1" applyAlignment="1">
      <alignment horizontal="left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21" fillId="3" borderId="15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4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center" vertical="center" wrapText="1"/>
    </xf>
    <xf numFmtId="43" fontId="20" fillId="0" borderId="1" xfId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vertical="center" wrapText="1"/>
    </xf>
    <xf numFmtId="0" fontId="20" fillId="0" borderId="53" xfId="0" applyFont="1" applyBorder="1" applyAlignment="1">
      <alignment vertical="center" wrapText="1"/>
    </xf>
    <xf numFmtId="0" fontId="20" fillId="0" borderId="5" xfId="0" applyFont="1" applyBorder="1" applyAlignment="1">
      <alignment vertical="center" wrapText="1"/>
    </xf>
    <xf numFmtId="0" fontId="25" fillId="0" borderId="0" xfId="0" applyFont="1"/>
    <xf numFmtId="43" fontId="20" fillId="0" borderId="1" xfId="1" applyNumberFormat="1" applyFont="1" applyBorder="1" applyAlignment="1">
      <alignment horizontal="center" vertical="center" wrapText="1"/>
    </xf>
    <xf numFmtId="43" fontId="26" fillId="0" borderId="0" xfId="0" applyNumberFormat="1" applyFont="1"/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center"/>
    </xf>
    <xf numFmtId="43" fontId="20" fillId="0" borderId="1" xfId="1" applyFont="1" applyBorder="1" applyAlignment="1">
      <alignment horizontal="center" vertical="center"/>
    </xf>
    <xf numFmtId="43" fontId="20" fillId="0" borderId="1" xfId="1" applyFont="1" applyBorder="1" applyAlignment="1">
      <alignment vertical="center"/>
    </xf>
    <xf numFmtId="0" fontId="0" fillId="0" borderId="1" xfId="0" applyBorder="1"/>
    <xf numFmtId="0" fontId="20" fillId="0" borderId="1" xfId="0" applyFont="1" applyBorder="1"/>
    <xf numFmtId="166" fontId="20" fillId="0" borderId="1" xfId="0" applyNumberFormat="1" applyFont="1" applyBorder="1"/>
    <xf numFmtId="43" fontId="20" fillId="0" borderId="1" xfId="1" applyFont="1" applyBorder="1" applyAlignment="1">
      <alignment horizontal="right" vertical="center"/>
    </xf>
    <xf numFmtId="43" fontId="0" fillId="0" borderId="0" xfId="0" applyNumberFormat="1"/>
    <xf numFmtId="2" fontId="20" fillId="0" borderId="1" xfId="0" applyNumberFormat="1" applyFont="1" applyBorder="1"/>
    <xf numFmtId="0" fontId="20" fillId="0" borderId="1" xfId="0" applyFont="1" applyFill="1" applyBorder="1" applyAlignment="1">
      <alignment horizontal="left" vertical="center" wrapText="1"/>
    </xf>
    <xf numFmtId="0" fontId="20" fillId="0" borderId="1" xfId="0" applyFont="1" applyBorder="1" applyAlignment="1">
      <alignment vertical="center" wrapText="1"/>
    </xf>
    <xf numFmtId="4" fontId="0" fillId="0" borderId="0" xfId="0" applyNumberFormat="1"/>
    <xf numFmtId="0" fontId="20" fillId="0" borderId="0" xfId="0" applyFont="1"/>
    <xf numFmtId="0" fontId="27" fillId="0" borderId="0" xfId="0" applyFont="1"/>
    <xf numFmtId="4" fontId="20" fillId="0" borderId="1" xfId="0" applyNumberFormat="1" applyFont="1" applyBorder="1" applyAlignment="1">
      <alignment horizontal="center" vertical="center"/>
    </xf>
    <xf numFmtId="10" fontId="20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20" fillId="0" borderId="1" xfId="0" applyFont="1" applyBorder="1" applyAlignment="1">
      <alignment wrapText="1"/>
    </xf>
    <xf numFmtId="43" fontId="20" fillId="0" borderId="1" xfId="1" applyFont="1" applyBorder="1" applyAlignment="1"/>
    <xf numFmtId="0" fontId="25" fillId="0" borderId="1" xfId="0" applyFont="1" applyBorder="1" applyAlignment="1"/>
    <xf numFmtId="43" fontId="0" fillId="0" borderId="0" xfId="1" applyFont="1"/>
    <xf numFmtId="0" fontId="20" fillId="0" borderId="0" xfId="0" applyFont="1" applyFill="1" applyBorder="1" applyAlignment="1">
      <alignment wrapText="1"/>
    </xf>
    <xf numFmtId="167" fontId="20" fillId="0" borderId="1" xfId="1" applyNumberFormat="1" applyFont="1" applyBorder="1" applyAlignment="1"/>
    <xf numFmtId="0" fontId="2" fillId="5" borderId="42" xfId="0" applyFont="1" applyFill="1" applyBorder="1" applyAlignment="1">
      <alignment horizontal="center" vertical="center" wrapText="1"/>
    </xf>
    <xf numFmtId="0" fontId="2" fillId="5" borderId="33" xfId="0" applyFont="1" applyFill="1" applyBorder="1" applyAlignment="1">
      <alignment horizontal="center" vertical="center" wrapText="1"/>
    </xf>
    <xf numFmtId="2" fontId="2" fillId="7" borderId="26" xfId="0" applyNumberFormat="1" applyFont="1" applyFill="1" applyBorder="1" applyAlignment="1">
      <alignment horizontal="center" vertical="center"/>
    </xf>
    <xf numFmtId="2" fontId="2" fillId="7" borderId="13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2" fontId="2" fillId="5" borderId="2" xfId="0" applyNumberFormat="1" applyFont="1" applyFill="1" applyBorder="1" applyAlignment="1">
      <alignment horizontal="center" vertical="center"/>
    </xf>
    <xf numFmtId="2" fontId="2" fillId="5" borderId="3" xfId="0" applyNumberFormat="1" applyFont="1" applyFill="1" applyBorder="1" applyAlignment="1">
      <alignment horizontal="center" vertical="center"/>
    </xf>
    <xf numFmtId="2" fontId="2" fillId="5" borderId="1" xfId="0" applyNumberFormat="1" applyFont="1" applyFill="1" applyBorder="1" applyAlignment="1">
      <alignment horizontal="center" vertical="center"/>
    </xf>
    <xf numFmtId="0" fontId="15" fillId="0" borderId="4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2" fontId="2" fillId="7" borderId="2" xfId="0" applyNumberFormat="1" applyFont="1" applyFill="1" applyBorder="1" applyAlignment="1">
      <alignment horizontal="center" vertical="center"/>
    </xf>
    <xf numFmtId="2" fontId="2" fillId="7" borderId="3" xfId="0" applyNumberFormat="1" applyFont="1" applyFill="1" applyBorder="1" applyAlignment="1">
      <alignment horizontal="center" vertical="center"/>
    </xf>
    <xf numFmtId="0" fontId="2" fillId="4" borderId="32" xfId="0" applyFont="1" applyFill="1" applyBorder="1" applyAlignment="1">
      <alignment horizontal="center" vertical="center" wrapText="1"/>
    </xf>
    <xf numFmtId="0" fontId="2" fillId="4" borderId="33" xfId="0" applyFont="1" applyFill="1" applyBorder="1" applyAlignment="1">
      <alignment horizontal="center" vertical="center" wrapText="1"/>
    </xf>
    <xf numFmtId="0" fontId="2" fillId="7" borderId="16" xfId="0" applyFont="1" applyFill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3" fillId="4" borderId="42" xfId="0" applyFont="1" applyFill="1" applyBorder="1" applyAlignment="1">
      <alignment horizontal="center" vertical="center" wrapText="1"/>
    </xf>
    <xf numFmtId="0" fontId="3" fillId="4" borderId="46" xfId="0" applyFont="1" applyFill="1" applyBorder="1" applyAlignment="1">
      <alignment horizontal="center" vertical="center" wrapText="1"/>
    </xf>
    <xf numFmtId="0" fontId="17" fillId="10" borderId="36" xfId="0" applyFont="1" applyFill="1" applyBorder="1" applyAlignment="1">
      <alignment horizontal="center"/>
    </xf>
    <xf numFmtId="0" fontId="17" fillId="10" borderId="49" xfId="0" applyFont="1" applyFill="1" applyBorder="1" applyAlignment="1">
      <alignment horizontal="center"/>
    </xf>
    <xf numFmtId="0" fontId="17" fillId="10" borderId="50" xfId="0" applyFont="1" applyFill="1" applyBorder="1" applyAlignment="1">
      <alignment horizontal="center"/>
    </xf>
    <xf numFmtId="0" fontId="16" fillId="10" borderId="47" xfId="0" applyFont="1" applyFill="1" applyBorder="1" applyAlignment="1">
      <alignment horizontal="center"/>
    </xf>
    <xf numFmtId="0" fontId="16" fillId="10" borderId="32" xfId="0" applyFont="1" applyFill="1" applyBorder="1" applyAlignment="1">
      <alignment horizontal="center"/>
    </xf>
    <xf numFmtId="0" fontId="16" fillId="10" borderId="46" xfId="0" applyFont="1" applyFill="1" applyBorder="1" applyAlignment="1">
      <alignment horizontal="center"/>
    </xf>
    <xf numFmtId="0" fontId="17" fillId="10" borderId="38" xfId="0" applyFont="1" applyFill="1" applyBorder="1" applyAlignment="1">
      <alignment horizontal="center"/>
    </xf>
    <xf numFmtId="0" fontId="17" fillId="10" borderId="0" xfId="0" applyFont="1" applyFill="1" applyBorder="1" applyAlignment="1">
      <alignment horizontal="center"/>
    </xf>
    <xf numFmtId="0" fontId="17" fillId="10" borderId="48" xfId="0" applyFont="1" applyFill="1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2" fillId="4" borderId="42" xfId="0" applyFont="1" applyFill="1" applyBorder="1" applyAlignment="1">
      <alignment horizontal="center" vertical="center" wrapText="1"/>
    </xf>
    <xf numFmtId="0" fontId="2" fillId="4" borderId="46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3" xfId="0" applyNumberFormat="1" applyFont="1" applyFill="1" applyBorder="1" applyAlignment="1">
      <alignment horizontal="center" vertical="center" wrapText="1"/>
    </xf>
    <xf numFmtId="49" fontId="2" fillId="0" borderId="54" xfId="0" applyNumberFormat="1" applyFont="1" applyFill="1" applyBorder="1" applyAlignment="1">
      <alignment horizontal="center" vertical="center" wrapText="1"/>
    </xf>
    <xf numFmtId="0" fontId="17" fillId="0" borderId="49" xfId="0" applyFont="1" applyBorder="1" applyAlignment="1">
      <alignment horizont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right" vertical="center" wrapText="1"/>
    </xf>
    <xf numFmtId="0" fontId="2" fillId="0" borderId="55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6" fillId="0" borderId="56" xfId="0" applyFont="1" applyBorder="1" applyAlignment="1">
      <alignment horizontal="center"/>
    </xf>
    <xf numFmtId="0" fontId="6" fillId="0" borderId="56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0" xfId="0" applyFont="1" applyAlignment="1">
      <alignment horizontal="right" vertical="center"/>
    </xf>
    <xf numFmtId="0" fontId="20" fillId="0" borderId="0" xfId="0" applyFont="1" applyBorder="1" applyAlignment="1">
      <alignment horizontal="right" vertical="top" wrapText="1"/>
    </xf>
    <xf numFmtId="0" fontId="6" fillId="0" borderId="56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right"/>
    </xf>
    <xf numFmtId="0" fontId="6" fillId="0" borderId="56" xfId="0" applyFont="1" applyBorder="1" applyAlignment="1">
      <alignment horizontal="center" wrapText="1"/>
    </xf>
    <xf numFmtId="0" fontId="20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autoTitleDeleted val="1"/>
    <c:view3D>
      <c:rAngAx val="1"/>
    </c:view3D>
    <c:plotArea>
      <c:layout>
        <c:manualLayout>
          <c:layoutTarget val="inner"/>
          <c:xMode val="edge"/>
          <c:yMode val="edge"/>
          <c:x val="0.11947586373359764"/>
          <c:y val="7.3157677533662369E-2"/>
          <c:w val="0.48232548560812205"/>
          <c:h val="0.81840294671819347"/>
        </c:manualLayout>
      </c:layout>
      <c:bar3DChart>
        <c:barDir val="col"/>
        <c:grouping val="clustered"/>
        <c:ser>
          <c:idx val="0"/>
          <c:order val="0"/>
          <c:tx>
            <c:strRef>
              <c:f>Табл№1!$A$6</c:f>
              <c:strCache>
                <c:ptCount val="1"/>
                <c:pt idx="0">
                  <c:v>Имущество предприятия, всего</c:v>
                </c:pt>
              </c:strCache>
            </c:strRef>
          </c:tx>
          <c:cat>
            <c:strRef>
              <c:f>(Табл№1!$D$4,Табл№1!$E$4,Табл№1!$F$4)</c:f>
              <c:strCache>
                <c:ptCount val="3"/>
                <c:pt idx="0">
                  <c:v>2007г.</c:v>
                </c:pt>
                <c:pt idx="1">
                  <c:v>2008г.</c:v>
                </c:pt>
                <c:pt idx="2">
                  <c:v>2009г.</c:v>
                </c:pt>
              </c:strCache>
            </c:strRef>
          </c:cat>
          <c:val>
            <c:numRef>
              <c:f>(Табл№1!$D$6,Табл№1!$E$6,Табл№1!$F$6)</c:f>
              <c:numCache>
                <c:formatCode>General</c:formatCode>
                <c:ptCount val="3"/>
                <c:pt idx="0">
                  <c:v>70172</c:v>
                </c:pt>
                <c:pt idx="1">
                  <c:v>87628</c:v>
                </c:pt>
                <c:pt idx="2">
                  <c:v>103419</c:v>
                </c:pt>
              </c:numCache>
            </c:numRef>
          </c:val>
        </c:ser>
        <c:ser>
          <c:idx val="1"/>
          <c:order val="1"/>
          <c:tx>
            <c:strRef>
              <c:f>Табл№1!$A$7</c:f>
              <c:strCache>
                <c:ptCount val="1"/>
                <c:pt idx="0">
                  <c:v>В том числе внеоборотные активы</c:v>
                </c:pt>
              </c:strCache>
            </c:strRef>
          </c:tx>
          <c:cat>
            <c:strRef>
              <c:f>(Табл№1!$D$4,Табл№1!$E$4,Табл№1!$F$4)</c:f>
              <c:strCache>
                <c:ptCount val="3"/>
                <c:pt idx="0">
                  <c:v>2007г.</c:v>
                </c:pt>
                <c:pt idx="1">
                  <c:v>2008г.</c:v>
                </c:pt>
                <c:pt idx="2">
                  <c:v>2009г.</c:v>
                </c:pt>
              </c:strCache>
            </c:strRef>
          </c:cat>
          <c:val>
            <c:numRef>
              <c:f>(Табл№1!$D$7,Табл№1!$E$7,Табл№1!$F$7)</c:f>
              <c:numCache>
                <c:formatCode>General</c:formatCode>
                <c:ptCount val="3"/>
                <c:pt idx="0">
                  <c:v>7817</c:v>
                </c:pt>
                <c:pt idx="1">
                  <c:v>7439</c:v>
                </c:pt>
                <c:pt idx="2">
                  <c:v>6105</c:v>
                </c:pt>
              </c:numCache>
            </c:numRef>
          </c:val>
        </c:ser>
        <c:ser>
          <c:idx val="2"/>
          <c:order val="2"/>
          <c:tx>
            <c:strRef>
              <c:f>Табл№1!$A$15</c:f>
              <c:strCache>
                <c:ptCount val="1"/>
                <c:pt idx="0">
                  <c:v>Оборотные активы</c:v>
                </c:pt>
              </c:strCache>
            </c:strRef>
          </c:tx>
          <c:cat>
            <c:strRef>
              <c:f>(Табл№1!$D$4,Табл№1!$E$4,Табл№1!$F$4)</c:f>
              <c:strCache>
                <c:ptCount val="3"/>
                <c:pt idx="0">
                  <c:v>2007г.</c:v>
                </c:pt>
                <c:pt idx="1">
                  <c:v>2008г.</c:v>
                </c:pt>
                <c:pt idx="2">
                  <c:v>2009г.</c:v>
                </c:pt>
              </c:strCache>
            </c:strRef>
          </c:cat>
          <c:val>
            <c:numRef>
              <c:f>(Табл№1!$D$15,Табл№1!$E$15,Табл№1!$F$15)</c:f>
              <c:numCache>
                <c:formatCode>General</c:formatCode>
                <c:ptCount val="3"/>
                <c:pt idx="0">
                  <c:v>62355</c:v>
                </c:pt>
                <c:pt idx="1">
                  <c:v>80189</c:v>
                </c:pt>
                <c:pt idx="2">
                  <c:v>97314</c:v>
                </c:pt>
              </c:numCache>
            </c:numRef>
          </c:val>
        </c:ser>
        <c:shape val="cylinder"/>
        <c:axId val="71267456"/>
        <c:axId val="71268992"/>
        <c:axId val="0"/>
      </c:bar3DChart>
      <c:catAx>
        <c:axId val="71267456"/>
        <c:scaling>
          <c:orientation val="minMax"/>
        </c:scaling>
        <c:axPos val="b"/>
        <c:tickLblPos val="nextTo"/>
        <c:crossAx val="71268992"/>
        <c:crosses val="autoZero"/>
        <c:auto val="1"/>
        <c:lblAlgn val="ctr"/>
        <c:lblOffset val="100"/>
      </c:catAx>
      <c:valAx>
        <c:axId val="71268992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ru-RU" b="0"/>
                  <a:t>тыс. руб.</a:t>
                </a:r>
              </a:p>
            </c:rich>
          </c:tx>
          <c:layout>
            <c:manualLayout>
              <c:xMode val="edge"/>
              <c:yMode val="edge"/>
              <c:x val="6.9674970821993171E-2"/>
              <c:y val="2.955061999724069E-2"/>
            </c:manualLayout>
          </c:layout>
        </c:title>
        <c:numFmt formatCode="General" sourceLinked="1"/>
        <c:tickLblPos val="nextTo"/>
        <c:crossAx val="71267456"/>
        <c:crosses val="autoZero"/>
        <c:crossBetween val="between"/>
      </c:valAx>
    </c:plotArea>
    <c:legend>
      <c:legendPos val="r"/>
    </c:legend>
    <c:plotVisOnly val="1"/>
  </c:chart>
  <c:spPr>
    <a:ln>
      <a:noFill/>
    </a:ln>
  </c:sp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1"/>
  <c:chart>
    <c:autoTitleDeleted val="1"/>
    <c:plotArea>
      <c:layout>
        <c:manualLayout>
          <c:layoutTarget val="inner"/>
          <c:xMode val="edge"/>
          <c:yMode val="edge"/>
          <c:x val="0.12325240594925638"/>
          <c:y val="5.0925561388159797E-2"/>
          <c:w val="0.67062270341207375"/>
          <c:h val="0.79870042286380882"/>
        </c:manualLayout>
      </c:layout>
      <c:barChart>
        <c:barDir val="bar"/>
        <c:grouping val="clustered"/>
        <c:ser>
          <c:idx val="0"/>
          <c:order val="0"/>
          <c:cat>
            <c:strRef>
              <c:f>Табл№5!$D$4:$F$4</c:f>
              <c:strCache>
                <c:ptCount val="3"/>
                <c:pt idx="0">
                  <c:v>2007г.</c:v>
                </c:pt>
                <c:pt idx="1">
                  <c:v>2008г.</c:v>
                </c:pt>
                <c:pt idx="2">
                  <c:v>2009г.</c:v>
                </c:pt>
              </c:strCache>
            </c:strRef>
          </c:cat>
          <c:val>
            <c:numRef>
              <c:f>(Табл№5!$D$6,Табл№5!$E$6,Табл№5!$F$6)</c:f>
              <c:numCache>
                <c:formatCode>General</c:formatCode>
                <c:ptCount val="3"/>
                <c:pt idx="0">
                  <c:v>48223</c:v>
                </c:pt>
                <c:pt idx="1">
                  <c:v>59762</c:v>
                </c:pt>
                <c:pt idx="2">
                  <c:v>77976</c:v>
                </c:pt>
              </c:numCache>
            </c:numRef>
          </c:val>
        </c:ser>
        <c:dLbls>
          <c:showVal val="1"/>
        </c:dLbls>
        <c:gapWidth val="75"/>
        <c:axId val="72232320"/>
        <c:axId val="72250880"/>
      </c:barChart>
      <c:catAx>
        <c:axId val="72232320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ru-RU" b="0"/>
                  <a:t>тыс.</a:t>
                </a:r>
                <a:r>
                  <a:rPr lang="ru-RU" b="0" baseline="0"/>
                  <a:t> руб.</a:t>
                </a:r>
                <a:endParaRPr lang="ru-RU" b="0"/>
              </a:p>
            </c:rich>
          </c:tx>
          <c:layout>
            <c:manualLayout>
              <c:xMode val="edge"/>
              <c:yMode val="edge"/>
              <c:x val="0.80277777777777781"/>
              <c:y val="0.82711577719451745"/>
            </c:manualLayout>
          </c:layout>
        </c:title>
        <c:majorTickMark val="none"/>
        <c:tickLblPos val="nextTo"/>
        <c:crossAx val="72250880"/>
        <c:crosses val="autoZero"/>
        <c:auto val="1"/>
        <c:lblAlgn val="ctr"/>
        <c:lblOffset val="100"/>
      </c:catAx>
      <c:valAx>
        <c:axId val="72250880"/>
        <c:scaling>
          <c:orientation val="minMax"/>
        </c:scaling>
        <c:axPos val="b"/>
        <c:numFmt formatCode="General" sourceLinked="1"/>
        <c:majorTickMark val="none"/>
        <c:tickLblPos val="nextTo"/>
        <c:crossAx val="72232320"/>
        <c:crosses val="autoZero"/>
        <c:crossBetween val="between"/>
      </c:valAx>
    </c:plotArea>
    <c:plotVisOnly val="1"/>
  </c:chart>
  <c:spPr>
    <a:noFill/>
    <a:ln>
      <a:noFill/>
    </a:ln>
  </c:sp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33"/>
  <c:chart>
    <c:autoTitleDeleted val="1"/>
    <c:view3D>
      <c:rAngAx val="1"/>
    </c:view3D>
    <c:plotArea>
      <c:layout>
        <c:manualLayout>
          <c:layoutTarget val="inner"/>
          <c:xMode val="edge"/>
          <c:yMode val="edge"/>
          <c:x val="0.10588409295553385"/>
          <c:y val="4.1234984902653184E-2"/>
          <c:w val="0.54346556315497052"/>
          <c:h val="0.85298678890765378"/>
        </c:manualLayout>
      </c:layout>
      <c:bar3DChart>
        <c:barDir val="col"/>
        <c:grouping val="clustered"/>
        <c:ser>
          <c:idx val="0"/>
          <c:order val="0"/>
          <c:tx>
            <c:strRef>
              <c:f>Табл№7!$A$15</c:f>
              <c:strCache>
                <c:ptCount val="1"/>
                <c:pt idx="0">
                  <c:v>Излишек (+), недостаток (-) собственных оборотных средств (стр.04 - стр.09)</c:v>
                </c:pt>
              </c:strCache>
            </c:strRef>
          </c:tx>
          <c:cat>
            <c:strRef>
              <c:f>(Табл№7!$C$3,Табл№7!$D$3,Табл№7!$E$3)</c:f>
              <c:strCache>
                <c:ptCount val="3"/>
                <c:pt idx="0">
                  <c:v>2007г.</c:v>
                </c:pt>
                <c:pt idx="1">
                  <c:v>2008г.</c:v>
                </c:pt>
                <c:pt idx="2">
                  <c:v>2009г.</c:v>
                </c:pt>
              </c:strCache>
            </c:strRef>
          </c:cat>
          <c:val>
            <c:numRef>
              <c:f>Табл№7!$C$15:$E$15</c:f>
              <c:numCache>
                <c:formatCode>General</c:formatCode>
                <c:ptCount val="3"/>
                <c:pt idx="0">
                  <c:v>30825</c:v>
                </c:pt>
                <c:pt idx="1">
                  <c:v>33168</c:v>
                </c:pt>
                <c:pt idx="2">
                  <c:v>44000</c:v>
                </c:pt>
              </c:numCache>
            </c:numRef>
          </c:val>
        </c:ser>
        <c:ser>
          <c:idx val="1"/>
          <c:order val="1"/>
          <c:tx>
            <c:strRef>
              <c:f>Табл№7!$A$16</c:f>
              <c:strCache>
                <c:ptCount val="1"/>
                <c:pt idx="0">
                  <c:v>Излишек (+), недостаток (-) собственных и долгосрочных заёмных источников формирования запасов (стр.06 - стр.09)</c:v>
                </c:pt>
              </c:strCache>
            </c:strRef>
          </c:tx>
          <c:cat>
            <c:strRef>
              <c:f>(Табл№7!$C$3,Табл№7!$D$3,Табл№7!$E$3)</c:f>
              <c:strCache>
                <c:ptCount val="3"/>
                <c:pt idx="0">
                  <c:v>2007г.</c:v>
                </c:pt>
                <c:pt idx="1">
                  <c:v>2008г.</c:v>
                </c:pt>
                <c:pt idx="2">
                  <c:v>2009г.</c:v>
                </c:pt>
              </c:strCache>
            </c:strRef>
          </c:cat>
          <c:val>
            <c:numRef>
              <c:f>Табл№7!$C$16:$E$16</c:f>
              <c:numCache>
                <c:formatCode>General</c:formatCode>
                <c:ptCount val="3"/>
                <c:pt idx="0">
                  <c:v>30825</c:v>
                </c:pt>
                <c:pt idx="1">
                  <c:v>33168</c:v>
                </c:pt>
                <c:pt idx="2">
                  <c:v>44000</c:v>
                </c:pt>
              </c:numCache>
            </c:numRef>
          </c:val>
        </c:ser>
        <c:ser>
          <c:idx val="2"/>
          <c:order val="2"/>
          <c:tx>
            <c:strRef>
              <c:f>Табл№7!$A$17</c:f>
              <c:strCache>
                <c:ptCount val="1"/>
                <c:pt idx="0">
                  <c:v>Излишек (+), недостаток (-) общей величины основных источников формирования запасов (стр.08 - стр.09)</c:v>
                </c:pt>
              </c:strCache>
            </c:strRef>
          </c:tx>
          <c:cat>
            <c:strRef>
              <c:f>(Табл№7!$C$3,Табл№7!$D$3,Табл№7!$E$3)</c:f>
              <c:strCache>
                <c:ptCount val="3"/>
                <c:pt idx="0">
                  <c:v>2007г.</c:v>
                </c:pt>
                <c:pt idx="1">
                  <c:v>2008г.</c:v>
                </c:pt>
                <c:pt idx="2">
                  <c:v>2009г.</c:v>
                </c:pt>
              </c:strCache>
            </c:strRef>
          </c:cat>
          <c:val>
            <c:numRef>
              <c:f>Табл№7!$C$17:$E$17</c:f>
              <c:numCache>
                <c:formatCode>General</c:formatCode>
                <c:ptCount val="3"/>
                <c:pt idx="0">
                  <c:v>44958</c:v>
                </c:pt>
                <c:pt idx="1">
                  <c:v>53595</c:v>
                </c:pt>
                <c:pt idx="2">
                  <c:v>63338</c:v>
                </c:pt>
              </c:numCache>
            </c:numRef>
          </c:val>
        </c:ser>
        <c:shape val="box"/>
        <c:axId val="72129152"/>
        <c:axId val="72135040"/>
        <c:axId val="0"/>
      </c:bar3DChart>
      <c:catAx>
        <c:axId val="72129152"/>
        <c:scaling>
          <c:orientation val="minMax"/>
        </c:scaling>
        <c:axPos val="b"/>
        <c:tickLblPos val="nextTo"/>
        <c:crossAx val="72135040"/>
        <c:crosses val="autoZero"/>
        <c:auto val="1"/>
        <c:lblAlgn val="ctr"/>
        <c:lblOffset val="100"/>
      </c:catAx>
      <c:valAx>
        <c:axId val="72135040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ru-RU" b="0"/>
                  <a:t>тыс. руб.</a:t>
                </a:r>
              </a:p>
            </c:rich>
          </c:tx>
          <c:layout>
            <c:manualLayout>
              <c:xMode val="edge"/>
              <c:yMode val="edge"/>
              <c:x val="5.4494472862425057E-2"/>
              <c:y val="1.2007398796598893E-2"/>
            </c:manualLayout>
          </c:layout>
        </c:title>
        <c:numFmt formatCode="General" sourceLinked="1"/>
        <c:tickLblPos val="nextTo"/>
        <c:crossAx val="721291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5755365250876496"/>
          <c:y val="0.11052924791086352"/>
          <c:w val="0.33706348661197832"/>
          <c:h val="0.73999342004255064"/>
        </c:manualLayout>
      </c:layout>
    </c:legend>
    <c:plotVisOnly val="1"/>
  </c:chart>
  <c:spPr>
    <a:noFill/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autoTitleDeleted val="1"/>
    <c:plotArea>
      <c:layout>
        <c:manualLayout>
          <c:layoutTarget val="inner"/>
          <c:xMode val="edge"/>
          <c:yMode val="edge"/>
          <c:x val="1.6460905349794275E-2"/>
          <c:y val="3.8094965402052018E-2"/>
          <c:w val="0.68724279835390945"/>
          <c:h val="0.69328670279851379"/>
        </c:manualLayout>
      </c:layout>
      <c:lineChart>
        <c:grouping val="standard"/>
        <c:ser>
          <c:idx val="0"/>
          <c:order val="0"/>
          <c:marker>
            <c:symbol val="none"/>
          </c:marker>
          <c:dLbls>
            <c:dLblPos val="ctr"/>
            <c:showVal val="1"/>
          </c:dLbls>
          <c:val>
            <c:numRef>
              <c:f>Табл№9!$D$10:$F$10</c:f>
              <c:numCache>
                <c:formatCode>0.000</c:formatCode>
                <c:ptCount val="3"/>
                <c:pt idx="0">
                  <c:v>1.7476827283662351E-2</c:v>
                </c:pt>
                <c:pt idx="1">
                  <c:v>0.1615019337151809</c:v>
                </c:pt>
                <c:pt idx="2">
                  <c:v>0.17137242734512359</c:v>
                </c:pt>
              </c:numCache>
            </c:numRef>
          </c:val>
          <c:smooth val="1"/>
        </c:ser>
        <c:ser>
          <c:idx val="1"/>
          <c:order val="1"/>
          <c:marker>
            <c:symbol val="none"/>
          </c:marker>
          <c:dLbls>
            <c:dLblPos val="ctr"/>
            <c:showVal val="1"/>
          </c:dLbls>
          <c:val>
            <c:numRef>
              <c:f>Табл№9!$D$11:$F$11</c:f>
              <c:numCache>
                <c:formatCode>0.000</c:formatCode>
                <c:ptCount val="3"/>
                <c:pt idx="0">
                  <c:v>3.029434656477747</c:v>
                </c:pt>
                <c:pt idx="1">
                  <c:v>2.4567973760219317</c:v>
                </c:pt>
                <c:pt idx="2">
                  <c:v>3.1794911573068569</c:v>
                </c:pt>
              </c:numCache>
            </c:numRef>
          </c:val>
          <c:smooth val="1"/>
        </c:ser>
        <c:ser>
          <c:idx val="2"/>
          <c:order val="2"/>
          <c:marker>
            <c:symbol val="none"/>
          </c:marker>
          <c:dLbls>
            <c:dLblPos val="ctr"/>
            <c:showVal val="1"/>
          </c:dLbls>
          <c:val>
            <c:numRef>
              <c:f>Табл№9!$D$12:$F$12</c:f>
              <c:numCache>
                <c:formatCode>0.000</c:formatCode>
                <c:ptCount val="3"/>
                <c:pt idx="0">
                  <c:v>4.2604542559966037</c:v>
                </c:pt>
                <c:pt idx="1">
                  <c:v>3.7587017183139961</c:v>
                </c:pt>
                <c:pt idx="2">
                  <c:v>4.9364463750129275</c:v>
                </c:pt>
              </c:numCache>
            </c:numRef>
          </c:val>
          <c:smooth val="1"/>
        </c:ser>
        <c:dLbls>
          <c:showVal val="1"/>
        </c:dLbls>
        <c:marker val="1"/>
        <c:axId val="72604672"/>
        <c:axId val="72680192"/>
      </c:lineChart>
      <c:catAx>
        <c:axId val="72604672"/>
        <c:scaling>
          <c:orientation val="minMax"/>
        </c:scaling>
        <c:axPos val="b"/>
        <c:majorTickMark val="none"/>
        <c:tickLblPos val="nextTo"/>
        <c:spPr>
          <a:ln w="9525">
            <a:noFill/>
          </a:ln>
        </c:spPr>
        <c:crossAx val="72680192"/>
        <c:crosses val="autoZero"/>
        <c:auto val="1"/>
        <c:lblAlgn val="ctr"/>
        <c:lblOffset val="100"/>
      </c:catAx>
      <c:valAx>
        <c:axId val="72680192"/>
        <c:scaling>
          <c:orientation val="minMax"/>
        </c:scaling>
        <c:delete val="1"/>
        <c:axPos val="l"/>
        <c:numFmt formatCode="0.000" sourceLinked="1"/>
        <c:majorTickMark val="none"/>
        <c:tickLblPos val="none"/>
        <c:crossAx val="726046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7144775253261824"/>
          <c:y val="7.423716347266314E-2"/>
          <c:w val="0.14000005891519451"/>
          <c:h val="0.80554867543105702"/>
        </c:manualLayout>
      </c:layout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14"/>
  <c:chart>
    <c:autoTitleDeleted val="1"/>
    <c:view3D>
      <c:rAngAx val="1"/>
    </c:view3D>
    <c:plotArea>
      <c:layout>
        <c:manualLayout>
          <c:layoutTarget val="inner"/>
          <c:xMode val="edge"/>
          <c:yMode val="edge"/>
          <c:x val="0.10897468796919137"/>
          <c:y val="7.142783544629866E-2"/>
          <c:w val="0.60576882729511217"/>
          <c:h val="0.77440353112359628"/>
        </c:manualLayout>
      </c:layout>
      <c:bar3DChart>
        <c:barDir val="col"/>
        <c:grouping val="clustered"/>
        <c:ser>
          <c:idx val="0"/>
          <c:order val="0"/>
          <c:tx>
            <c:strRef>
              <c:f>Табл№13!$A$7</c:f>
              <c:strCache>
                <c:ptCount val="1"/>
                <c:pt idx="0">
                  <c:v>Текущие активы, тыс. руб.</c:v>
                </c:pt>
              </c:strCache>
            </c:strRef>
          </c:tx>
          <c:cat>
            <c:strRef>
              <c:f>Табл№13!$D$3:$F$4</c:f>
              <c:strCache>
                <c:ptCount val="3"/>
                <c:pt idx="0">
                  <c:v>2007г.</c:v>
                </c:pt>
                <c:pt idx="1">
                  <c:v>2008г.</c:v>
                </c:pt>
                <c:pt idx="2">
                  <c:v>2009г.</c:v>
                </c:pt>
              </c:strCache>
            </c:strRef>
          </c:cat>
          <c:val>
            <c:numRef>
              <c:f>Табл№13!$D$7:$F$7</c:f>
              <c:numCache>
                <c:formatCode>General</c:formatCode>
                <c:ptCount val="3"/>
                <c:pt idx="0">
                  <c:v>62355</c:v>
                </c:pt>
                <c:pt idx="1">
                  <c:v>80189</c:v>
                </c:pt>
                <c:pt idx="2">
                  <c:v>97314</c:v>
                </c:pt>
              </c:numCache>
            </c:numRef>
          </c:val>
        </c:ser>
        <c:ser>
          <c:idx val="1"/>
          <c:order val="1"/>
          <c:tx>
            <c:strRef>
              <c:f>Табл№13!$A$10</c:f>
              <c:strCache>
                <c:ptCount val="1"/>
                <c:pt idx="0">
                  <c:v>Выручка от продаж продукции, тыс. руб.</c:v>
                </c:pt>
              </c:strCache>
            </c:strRef>
          </c:tx>
          <c:cat>
            <c:strRef>
              <c:f>Табл№13!$D$3:$F$4</c:f>
              <c:strCache>
                <c:ptCount val="3"/>
                <c:pt idx="0">
                  <c:v>2007г.</c:v>
                </c:pt>
                <c:pt idx="1">
                  <c:v>2008г.</c:v>
                </c:pt>
                <c:pt idx="2">
                  <c:v>2009г.</c:v>
                </c:pt>
              </c:strCache>
            </c:strRef>
          </c:cat>
          <c:val>
            <c:numRef>
              <c:f>Табл№13!$D$10:$F$10</c:f>
              <c:numCache>
                <c:formatCode>General</c:formatCode>
                <c:ptCount val="3"/>
                <c:pt idx="0">
                  <c:v>165144</c:v>
                </c:pt>
                <c:pt idx="1">
                  <c:v>198872</c:v>
                </c:pt>
                <c:pt idx="2">
                  <c:v>254129</c:v>
                </c:pt>
              </c:numCache>
            </c:numRef>
          </c:val>
        </c:ser>
        <c:ser>
          <c:idx val="2"/>
          <c:order val="2"/>
          <c:tx>
            <c:strRef>
              <c:f>Табл№13!$A$13</c:f>
              <c:strCache>
                <c:ptCount val="1"/>
                <c:pt idx="0">
                  <c:v>Чистая прибыль, тыс. руб.</c:v>
                </c:pt>
              </c:strCache>
            </c:strRef>
          </c:tx>
          <c:cat>
            <c:strRef>
              <c:f>Табл№13!$D$3:$F$4</c:f>
              <c:strCache>
                <c:ptCount val="3"/>
                <c:pt idx="0">
                  <c:v>2007г.</c:v>
                </c:pt>
                <c:pt idx="1">
                  <c:v>2008г.</c:v>
                </c:pt>
                <c:pt idx="2">
                  <c:v>2009г.</c:v>
                </c:pt>
              </c:strCache>
            </c:strRef>
          </c:cat>
          <c:val>
            <c:numRef>
              <c:f>Табл№13!$D$13:$F$13</c:f>
              <c:numCache>
                <c:formatCode>General</c:formatCode>
                <c:ptCount val="3"/>
                <c:pt idx="0">
                  <c:v>6697</c:v>
                </c:pt>
                <c:pt idx="1">
                  <c:v>3661</c:v>
                </c:pt>
                <c:pt idx="2">
                  <c:v>9580</c:v>
                </c:pt>
              </c:numCache>
            </c:numRef>
          </c:val>
        </c:ser>
        <c:shape val="cylinder"/>
        <c:axId val="72816512"/>
        <c:axId val="72818048"/>
        <c:axId val="0"/>
      </c:bar3DChart>
      <c:catAx>
        <c:axId val="72816512"/>
        <c:scaling>
          <c:orientation val="minMax"/>
        </c:scaling>
        <c:axPos val="b"/>
        <c:majorTickMark val="none"/>
        <c:tickLblPos val="nextTo"/>
        <c:crossAx val="72818048"/>
        <c:crosses val="autoZero"/>
        <c:auto val="1"/>
        <c:lblAlgn val="ctr"/>
        <c:lblOffset val="100"/>
      </c:catAx>
      <c:valAx>
        <c:axId val="72818048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ru-RU" b="0"/>
                  <a:t>тыс. руб.</a:t>
                </a:r>
              </a:p>
            </c:rich>
          </c:tx>
          <c:layout>
            <c:manualLayout>
              <c:xMode val="edge"/>
              <c:yMode val="edge"/>
              <c:x val="6.5573887699058753E-2"/>
              <c:y val="4.040763423090634E-2"/>
            </c:manualLayout>
          </c:layout>
        </c:title>
        <c:numFmt formatCode="General" sourceLinked="1"/>
        <c:majorTickMark val="none"/>
        <c:tickLblPos val="nextTo"/>
        <c:crossAx val="728165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198626444217121"/>
          <c:y val="0.23386898918802254"/>
          <c:w val="0.21253603281073394"/>
          <c:h val="0.53226174314417596"/>
        </c:manualLayout>
      </c:layout>
    </c:legend>
    <c:plotVisOnly val="1"/>
  </c:chart>
  <c:spPr>
    <a:noFill/>
    <a:ln>
      <a:noFill/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12"/>
  <c:chart>
    <c:autoTitleDeleted val="1"/>
    <c:plotArea>
      <c:layout>
        <c:manualLayout>
          <c:layoutTarget val="inner"/>
          <c:xMode val="edge"/>
          <c:yMode val="edge"/>
          <c:x val="0.18866032588383383"/>
          <c:y val="6.2927165354330711E-2"/>
          <c:w val="0.71354597656031382"/>
          <c:h val="0.81840288713910769"/>
        </c:manualLayout>
      </c:layout>
      <c:lineChart>
        <c:grouping val="standard"/>
        <c:ser>
          <c:idx val="0"/>
          <c:order val="0"/>
          <c:dLbls>
            <c:showVal val="1"/>
          </c:dLbls>
          <c:cat>
            <c:strRef>
              <c:f>(продажи!$B$2,продажи!$C$2,продажи!$D$2)</c:f>
              <c:strCache>
                <c:ptCount val="3"/>
                <c:pt idx="0">
                  <c:v>2010г.</c:v>
                </c:pt>
                <c:pt idx="1">
                  <c:v>2011г.</c:v>
                </c:pt>
                <c:pt idx="2">
                  <c:v>2011г.</c:v>
                </c:pt>
              </c:strCache>
            </c:strRef>
          </c:cat>
          <c:val>
            <c:numRef>
              <c:f>продажи!$B$3:$D$3</c:f>
              <c:numCache>
                <c:formatCode>_-* #,##0_р_._-;\-* #,##0_р_._-;_-* "-"??_р_._-;_-@_-</c:formatCode>
                <c:ptCount val="3"/>
                <c:pt idx="0">
                  <c:v>59355965</c:v>
                </c:pt>
                <c:pt idx="1">
                  <c:v>71761565</c:v>
                </c:pt>
                <c:pt idx="2">
                  <c:v>87411687</c:v>
                </c:pt>
              </c:numCache>
            </c:numRef>
          </c:val>
        </c:ser>
        <c:marker val="1"/>
        <c:axId val="72638464"/>
        <c:axId val="72640000"/>
      </c:lineChart>
      <c:catAx>
        <c:axId val="72638464"/>
        <c:scaling>
          <c:orientation val="minMax"/>
        </c:scaling>
        <c:axPos val="b"/>
        <c:minorGridlines/>
        <c:numFmt formatCode="General" sourceLinked="1"/>
        <c:majorTickMark val="none"/>
        <c:tickLblPos val="nextTo"/>
        <c:crossAx val="72640000"/>
        <c:crosses val="autoZero"/>
        <c:auto val="1"/>
        <c:lblAlgn val="ctr"/>
        <c:lblOffset val="100"/>
      </c:catAx>
      <c:valAx>
        <c:axId val="72640000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ru-RU" b="0"/>
                  <a:t>руб.</a:t>
                </a:r>
              </a:p>
            </c:rich>
          </c:tx>
          <c:layout>
            <c:manualLayout>
              <c:xMode val="edge"/>
              <c:yMode val="edge"/>
              <c:x val="0.1446580450951587"/>
              <c:y val="3.8930525250608743E-3"/>
            </c:manualLayout>
          </c:layout>
        </c:title>
        <c:numFmt formatCode="_-* #,##0_р_._-;\-* #,##0_р_._-;_-* &quot;-&quot;??_р_._-;_-@_-" sourceLinked="1"/>
        <c:majorTickMark val="none"/>
        <c:tickLblPos val="nextTo"/>
        <c:crossAx val="72638464"/>
        <c:crosses val="autoZero"/>
        <c:crossBetween val="between"/>
      </c:valAx>
    </c:plotArea>
    <c:plotVisOnly val="1"/>
  </c:chart>
  <c:spPr>
    <a:noFill/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323849</xdr:colOff>
      <xdr:row>24</xdr:row>
      <xdr:rowOff>66674</xdr:rowOff>
    </xdr:from>
    <xdr:to>
      <xdr:col>13</xdr:col>
      <xdr:colOff>352425</xdr:colOff>
      <xdr:row>41</xdr:row>
      <xdr:rowOff>85725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19</xdr:row>
      <xdr:rowOff>95249</xdr:rowOff>
    </xdr:from>
    <xdr:to>
      <xdr:col>4</xdr:col>
      <xdr:colOff>581025</xdr:colOff>
      <xdr:row>33</xdr:row>
      <xdr:rowOff>180974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1095375</xdr:colOff>
      <xdr:row>22</xdr:row>
      <xdr:rowOff>47624</xdr:rowOff>
    </xdr:from>
    <xdr:to>
      <xdr:col>8</xdr:col>
      <xdr:colOff>504825</xdr:colOff>
      <xdr:row>40</xdr:row>
      <xdr:rowOff>38099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1019175</xdr:colOff>
      <xdr:row>12</xdr:row>
      <xdr:rowOff>161924</xdr:rowOff>
    </xdr:from>
    <xdr:to>
      <xdr:col>10</xdr:col>
      <xdr:colOff>95251</xdr:colOff>
      <xdr:row>30</xdr:row>
      <xdr:rowOff>47625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781049</xdr:colOff>
      <xdr:row>21</xdr:row>
      <xdr:rowOff>47624</xdr:rowOff>
    </xdr:from>
    <xdr:to>
      <xdr:col>5</xdr:col>
      <xdr:colOff>495300</xdr:colOff>
      <xdr:row>40</xdr:row>
      <xdr:rowOff>19049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5</xdr:row>
      <xdr:rowOff>9525</xdr:rowOff>
    </xdr:from>
    <xdr:to>
      <xdr:col>3</xdr:col>
      <xdr:colOff>1257300</xdr:colOff>
      <xdr:row>21</xdr:row>
      <xdr:rowOff>123825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8"/>
  <sheetViews>
    <sheetView topLeftCell="A19" workbookViewId="0">
      <selection activeCell="B36" sqref="B36"/>
    </sheetView>
  </sheetViews>
  <sheetFormatPr defaultRowHeight="15"/>
  <cols>
    <col min="1" max="1" width="35.140625" customWidth="1"/>
    <col min="2" max="2" width="9.42578125" customWidth="1"/>
    <col min="3" max="3" width="11.42578125" customWidth="1"/>
    <col min="9" max="9" width="9" customWidth="1"/>
    <col min="10" max="10" width="9.140625" customWidth="1"/>
  </cols>
  <sheetData>
    <row r="1" spans="1:13" ht="33.75" customHeight="1">
      <c r="A1" s="316" t="s">
        <v>58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</row>
    <row r="2" spans="1:13" ht="15.75" thickBo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ht="42.75" customHeight="1">
      <c r="A3" s="311" t="s">
        <v>0</v>
      </c>
      <c r="B3" s="313" t="s">
        <v>1</v>
      </c>
      <c r="C3" s="313" t="s">
        <v>2</v>
      </c>
      <c r="D3" s="324" t="s">
        <v>3</v>
      </c>
      <c r="E3" s="324"/>
      <c r="F3" s="324"/>
      <c r="G3" s="319" t="s">
        <v>4</v>
      </c>
      <c r="H3" s="320"/>
      <c r="I3" s="294" t="s">
        <v>5</v>
      </c>
      <c r="J3" s="295"/>
      <c r="K3" s="321" t="s">
        <v>6</v>
      </c>
      <c r="L3" s="322"/>
      <c r="M3" s="323"/>
    </row>
    <row r="4" spans="1:13" ht="32.25" customHeight="1" thickBot="1">
      <c r="A4" s="312"/>
      <c r="B4" s="314"/>
      <c r="C4" s="314"/>
      <c r="D4" s="253" t="s">
        <v>343</v>
      </c>
      <c r="E4" s="253" t="s">
        <v>344</v>
      </c>
      <c r="F4" s="253" t="s">
        <v>345</v>
      </c>
      <c r="G4" s="81" t="s">
        <v>101</v>
      </c>
      <c r="H4" s="81" t="s">
        <v>102</v>
      </c>
      <c r="I4" s="85" t="s">
        <v>101</v>
      </c>
      <c r="J4" s="85" t="s">
        <v>102</v>
      </c>
      <c r="K4" s="97">
        <v>2007</v>
      </c>
      <c r="L4" s="98">
        <v>2008</v>
      </c>
      <c r="M4" s="99">
        <v>2009</v>
      </c>
    </row>
    <row r="5" spans="1:13" ht="15.75" thickBot="1">
      <c r="A5" s="7">
        <v>1</v>
      </c>
      <c r="B5" s="8">
        <v>2</v>
      </c>
      <c r="C5" s="8">
        <v>3</v>
      </c>
      <c r="D5" s="77">
        <v>4</v>
      </c>
      <c r="E5" s="77">
        <v>5</v>
      </c>
      <c r="F5" s="77">
        <v>6</v>
      </c>
      <c r="G5" s="82">
        <v>7</v>
      </c>
      <c r="H5" s="82">
        <v>8</v>
      </c>
      <c r="I5" s="86">
        <v>9</v>
      </c>
      <c r="J5" s="86">
        <v>10</v>
      </c>
      <c r="K5" s="100">
        <v>11</v>
      </c>
      <c r="L5" s="101">
        <v>12</v>
      </c>
      <c r="M5" s="102">
        <v>13</v>
      </c>
    </row>
    <row r="6" spans="1:13">
      <c r="A6" s="9" t="s">
        <v>7</v>
      </c>
      <c r="B6" s="10" t="s">
        <v>23</v>
      </c>
      <c r="C6" s="63">
        <v>300</v>
      </c>
      <c r="D6" s="78">
        <v>70172</v>
      </c>
      <c r="E6" s="78">
        <v>87628</v>
      </c>
      <c r="F6" s="78">
        <v>103419</v>
      </c>
      <c r="G6" s="83">
        <f>E6-D6</f>
        <v>17456</v>
      </c>
      <c r="H6" s="83">
        <f>F6-E6</f>
        <v>15791</v>
      </c>
      <c r="I6" s="93">
        <f>G6/D6*100</f>
        <v>24.876018924927319</v>
      </c>
      <c r="J6" s="93">
        <f>H6/E6*100</f>
        <v>18.020495731957823</v>
      </c>
      <c r="K6" s="103">
        <v>100</v>
      </c>
      <c r="L6" s="104">
        <v>100</v>
      </c>
      <c r="M6" s="105">
        <v>100</v>
      </c>
    </row>
    <row r="7" spans="1:13">
      <c r="A7" s="11" t="s">
        <v>8</v>
      </c>
      <c r="B7" s="12" t="s">
        <v>24</v>
      </c>
      <c r="C7" s="13">
        <v>190</v>
      </c>
      <c r="D7" s="79">
        <v>7817</v>
      </c>
      <c r="E7" s="79">
        <v>7439</v>
      </c>
      <c r="F7" s="79">
        <v>6105</v>
      </c>
      <c r="G7" s="84">
        <f>E7-D7</f>
        <v>-378</v>
      </c>
      <c r="H7" s="84">
        <f>F7-E7</f>
        <v>-1334</v>
      </c>
      <c r="I7" s="94">
        <f>G7/D7*100</f>
        <v>-4.8356146859408975</v>
      </c>
      <c r="J7" s="94">
        <f>H7/E7*100</f>
        <v>-17.932517811533806</v>
      </c>
      <c r="K7" s="106">
        <f>(D7/D6)*K6</f>
        <v>11.139770848771589</v>
      </c>
      <c r="L7" s="106">
        <f t="shared" ref="L7:M7" si="0">(E7/E6)*L6</f>
        <v>8.4892956589218063</v>
      </c>
      <c r="M7" s="107">
        <f t="shared" si="0"/>
        <v>5.90317059727903</v>
      </c>
    </row>
    <row r="8" spans="1:13">
      <c r="A8" s="11" t="s">
        <v>9</v>
      </c>
      <c r="B8" s="298" t="s">
        <v>25</v>
      </c>
      <c r="C8" s="300">
        <v>110</v>
      </c>
      <c r="D8" s="302">
        <v>0</v>
      </c>
      <c r="E8" s="302">
        <v>0</v>
      </c>
      <c r="F8" s="302">
        <v>0</v>
      </c>
      <c r="G8" s="304">
        <f t="shared" ref="G8" si="1">E8-D8</f>
        <v>0</v>
      </c>
      <c r="H8" s="304">
        <f t="shared" ref="H8" si="2">F8-E8</f>
        <v>0</v>
      </c>
      <c r="I8" s="306" t="e">
        <f>G8/D8*100</f>
        <v>#DIV/0!</v>
      </c>
      <c r="J8" s="306" t="e">
        <f t="shared" ref="J8:J14" si="3">H8/E8*100</f>
        <v>#DIV/0!</v>
      </c>
      <c r="K8" s="317">
        <f>D8/D6*K6</f>
        <v>0</v>
      </c>
      <c r="L8" s="317">
        <f t="shared" ref="L8" si="4">E8/E6*L6</f>
        <v>0</v>
      </c>
      <c r="M8" s="296">
        <f>F8/F6*M6</f>
        <v>0</v>
      </c>
    </row>
    <row r="9" spans="1:13">
      <c r="A9" s="14" t="s">
        <v>10</v>
      </c>
      <c r="B9" s="299"/>
      <c r="C9" s="301"/>
      <c r="D9" s="303"/>
      <c r="E9" s="303"/>
      <c r="F9" s="303"/>
      <c r="G9" s="305"/>
      <c r="H9" s="305"/>
      <c r="I9" s="307"/>
      <c r="J9" s="307"/>
      <c r="K9" s="318"/>
      <c r="L9" s="318"/>
      <c r="M9" s="297"/>
    </row>
    <row r="10" spans="1:13">
      <c r="A10" s="14" t="s">
        <v>11</v>
      </c>
      <c r="B10" s="12" t="s">
        <v>26</v>
      </c>
      <c r="C10" s="13">
        <v>120</v>
      </c>
      <c r="D10" s="79">
        <v>7817</v>
      </c>
      <c r="E10" s="79">
        <v>7439</v>
      </c>
      <c r="F10" s="79">
        <v>6105</v>
      </c>
      <c r="G10" s="84">
        <f>E10-D10</f>
        <v>-378</v>
      </c>
      <c r="H10" s="84">
        <f>F10-E10</f>
        <v>-1334</v>
      </c>
      <c r="I10" s="94">
        <f t="shared" ref="I10:I13" si="5">G10/D10*100</f>
        <v>-4.8356146859408975</v>
      </c>
      <c r="J10" s="94">
        <f t="shared" si="3"/>
        <v>-17.932517811533806</v>
      </c>
      <c r="K10" s="106">
        <f>D10/D6*K6</f>
        <v>11.139770848771589</v>
      </c>
      <c r="L10" s="106">
        <f t="shared" ref="L10:M10" si="6">E10/E6*L6</f>
        <v>8.4892956589218063</v>
      </c>
      <c r="M10" s="107">
        <f t="shared" si="6"/>
        <v>5.90317059727903</v>
      </c>
    </row>
    <row r="11" spans="1:13">
      <c r="A11" s="15" t="s">
        <v>12</v>
      </c>
      <c r="B11" s="12" t="s">
        <v>27</v>
      </c>
      <c r="C11" s="16">
        <v>130</v>
      </c>
      <c r="D11" s="79">
        <v>0</v>
      </c>
      <c r="E11" s="79">
        <v>0</v>
      </c>
      <c r="F11" s="79">
        <v>0</v>
      </c>
      <c r="G11" s="84">
        <f>E11-D11</f>
        <v>0</v>
      </c>
      <c r="H11" s="84">
        <f>F11-E11</f>
        <v>0</v>
      </c>
      <c r="I11" s="94" t="e">
        <f t="shared" si="5"/>
        <v>#DIV/0!</v>
      </c>
      <c r="J11" s="94" t="e">
        <f t="shared" si="3"/>
        <v>#DIV/0!</v>
      </c>
      <c r="K11" s="106">
        <f>D11/D6*K6</f>
        <v>0</v>
      </c>
      <c r="L11" s="106">
        <f>E11/E6*L6</f>
        <v>0</v>
      </c>
      <c r="M11" s="107">
        <f>F11/F6*M6</f>
        <v>0</v>
      </c>
    </row>
    <row r="12" spans="1:13" ht="30">
      <c r="A12" s="15" t="s">
        <v>13</v>
      </c>
      <c r="B12" s="12" t="s">
        <v>28</v>
      </c>
      <c r="C12" s="13">
        <v>135</v>
      </c>
      <c r="D12" s="79">
        <v>0</v>
      </c>
      <c r="E12" s="79">
        <v>0</v>
      </c>
      <c r="F12" s="79">
        <v>0</v>
      </c>
      <c r="G12" s="84">
        <f t="shared" ref="G12:G13" si="7">E12-D12</f>
        <v>0</v>
      </c>
      <c r="H12" s="84">
        <f t="shared" ref="H12:H13" si="8">F12-E12</f>
        <v>0</v>
      </c>
      <c r="I12" s="94" t="e">
        <f t="shared" si="5"/>
        <v>#DIV/0!</v>
      </c>
      <c r="J12" s="94" t="e">
        <f t="shared" si="3"/>
        <v>#DIV/0!</v>
      </c>
      <c r="K12" s="106">
        <f>D12/D6*K6</f>
        <v>0</v>
      </c>
      <c r="L12" s="106">
        <f t="shared" ref="L12:M12" si="9">E12/E6*L6</f>
        <v>0</v>
      </c>
      <c r="M12" s="107">
        <f t="shared" si="9"/>
        <v>0</v>
      </c>
    </row>
    <row r="13" spans="1:13">
      <c r="A13" s="15" t="s">
        <v>14</v>
      </c>
      <c r="B13" s="12" t="s">
        <v>29</v>
      </c>
      <c r="C13" s="13">
        <v>140</v>
      </c>
      <c r="D13" s="79">
        <v>0</v>
      </c>
      <c r="E13" s="79">
        <v>0</v>
      </c>
      <c r="F13" s="79">
        <v>0</v>
      </c>
      <c r="G13" s="84">
        <f t="shared" si="7"/>
        <v>0</v>
      </c>
      <c r="H13" s="84">
        <f t="shared" si="8"/>
        <v>0</v>
      </c>
      <c r="I13" s="94" t="e">
        <f t="shared" si="5"/>
        <v>#DIV/0!</v>
      </c>
      <c r="J13" s="94" t="e">
        <f t="shared" si="3"/>
        <v>#DIV/0!</v>
      </c>
      <c r="K13" s="106" t="e">
        <f t="shared" ref="K13:M13" si="10">D13/D8*K8</f>
        <v>#DIV/0!</v>
      </c>
      <c r="L13" s="106" t="e">
        <f t="shared" si="10"/>
        <v>#DIV/0!</v>
      </c>
      <c r="M13" s="107" t="e">
        <f t="shared" si="10"/>
        <v>#DIV/0!</v>
      </c>
    </row>
    <row r="14" spans="1:13">
      <c r="A14" s="15" t="s">
        <v>15</v>
      </c>
      <c r="B14" s="12" t="s">
        <v>30</v>
      </c>
      <c r="C14" s="13">
        <v>150</v>
      </c>
      <c r="D14" s="79">
        <v>0</v>
      </c>
      <c r="E14" s="79">
        <v>0</v>
      </c>
      <c r="F14" s="79">
        <v>0</v>
      </c>
      <c r="G14" s="84">
        <f t="shared" ref="G14:G15" si="11">E14-D14</f>
        <v>0</v>
      </c>
      <c r="H14" s="84">
        <f t="shared" ref="H14:H15" si="12">F14-E14</f>
        <v>0</v>
      </c>
      <c r="I14" s="94" t="e">
        <f>G14/D14*100</f>
        <v>#DIV/0!</v>
      </c>
      <c r="J14" s="94" t="e">
        <f t="shared" si="3"/>
        <v>#DIV/0!</v>
      </c>
      <c r="K14" s="106">
        <f>D14/D6*K6</f>
        <v>0</v>
      </c>
      <c r="L14" s="106">
        <f>E14/E6*L6</f>
        <v>0</v>
      </c>
      <c r="M14" s="107">
        <f>F14/F6*M6</f>
        <v>0</v>
      </c>
    </row>
    <row r="15" spans="1:13">
      <c r="A15" s="17" t="s">
        <v>16</v>
      </c>
      <c r="B15" s="12" t="s">
        <v>31</v>
      </c>
      <c r="C15" s="13">
        <v>290</v>
      </c>
      <c r="D15" s="79">
        <v>62355</v>
      </c>
      <c r="E15" s="79">
        <v>80189</v>
      </c>
      <c r="F15" s="79">
        <v>97314</v>
      </c>
      <c r="G15" s="84">
        <f t="shared" si="11"/>
        <v>17834</v>
      </c>
      <c r="H15" s="84">
        <f t="shared" si="12"/>
        <v>17125</v>
      </c>
      <c r="I15" s="94">
        <f>G15/D15*100</f>
        <v>28.600753748696977</v>
      </c>
      <c r="J15" s="94">
        <f>H15/E15*100</f>
        <v>21.355796929753456</v>
      </c>
      <c r="K15" s="106">
        <f>D15/D6*K6</f>
        <v>88.86022915122841</v>
      </c>
      <c r="L15" s="106">
        <f>E15/E6*L6</f>
        <v>91.510704341078196</v>
      </c>
      <c r="M15" s="107">
        <f>F15/F6*M6</f>
        <v>94.096829402720971</v>
      </c>
    </row>
    <row r="16" spans="1:13">
      <c r="A16" s="11" t="s">
        <v>9</v>
      </c>
      <c r="B16" s="298" t="s">
        <v>32</v>
      </c>
      <c r="C16" s="300">
        <v>210</v>
      </c>
      <c r="D16" s="302">
        <v>17398</v>
      </c>
      <c r="E16" s="302">
        <v>26594</v>
      </c>
      <c r="F16" s="302">
        <v>33976</v>
      </c>
      <c r="G16" s="304">
        <f>E16-D16</f>
        <v>9196</v>
      </c>
      <c r="H16" s="304">
        <f>F16-E16</f>
        <v>7382</v>
      </c>
      <c r="I16" s="308">
        <f>G16/D16*100</f>
        <v>52.856650189676976</v>
      </c>
      <c r="J16" s="308">
        <f t="shared" ref="J16" si="13">H16/E16*100</f>
        <v>27.758140934045272</v>
      </c>
      <c r="K16" s="317">
        <f>D16/D6*K6</f>
        <v>24.793364874878872</v>
      </c>
      <c r="L16" s="317">
        <f>E16/E6*L6</f>
        <v>30.348746975852471</v>
      </c>
      <c r="M16" s="296">
        <f>F16/F6*M6</f>
        <v>32.852763998878345</v>
      </c>
    </row>
    <row r="17" spans="1:13">
      <c r="A17" s="14" t="s">
        <v>17</v>
      </c>
      <c r="B17" s="299"/>
      <c r="C17" s="301"/>
      <c r="D17" s="303"/>
      <c r="E17" s="303"/>
      <c r="F17" s="303"/>
      <c r="G17" s="305"/>
      <c r="H17" s="305"/>
      <c r="I17" s="308"/>
      <c r="J17" s="308"/>
      <c r="K17" s="318"/>
      <c r="L17" s="318"/>
      <c r="M17" s="297"/>
    </row>
    <row r="18" spans="1:13" ht="60">
      <c r="A18" s="18" t="s">
        <v>18</v>
      </c>
      <c r="B18" s="12" t="s">
        <v>33</v>
      </c>
      <c r="C18" s="13">
        <v>230</v>
      </c>
      <c r="D18" s="79">
        <v>0</v>
      </c>
      <c r="E18" s="79">
        <v>0</v>
      </c>
      <c r="F18" s="79">
        <v>0</v>
      </c>
      <c r="G18" s="84">
        <f t="shared" ref="G18:H20" si="14">E18-D18</f>
        <v>0</v>
      </c>
      <c r="H18" s="84">
        <f t="shared" si="14"/>
        <v>0</v>
      </c>
      <c r="I18" s="94" t="e">
        <f>G18/D18*100</f>
        <v>#DIV/0!</v>
      </c>
      <c r="J18" s="94" t="e">
        <f t="shared" ref="J18:J22" si="15">H18/E18*100</f>
        <v>#DIV/0!</v>
      </c>
      <c r="K18" s="106">
        <f>D18/D6*K6</f>
        <v>0</v>
      </c>
      <c r="L18" s="106">
        <f t="shared" ref="L18:M18" si="16">E18/E6*L6</f>
        <v>0</v>
      </c>
      <c r="M18" s="107">
        <f t="shared" si="16"/>
        <v>0</v>
      </c>
    </row>
    <row r="19" spans="1:13" ht="30">
      <c r="A19" s="15" t="s">
        <v>19</v>
      </c>
      <c r="B19" s="12" t="s">
        <v>34</v>
      </c>
      <c r="C19" s="13">
        <v>240</v>
      </c>
      <c r="D19" s="79">
        <v>42568</v>
      </c>
      <c r="E19" s="79">
        <v>46886</v>
      </c>
      <c r="F19" s="79">
        <v>58171</v>
      </c>
      <c r="G19" s="84">
        <f t="shared" si="14"/>
        <v>4318</v>
      </c>
      <c r="H19" s="84">
        <f t="shared" si="14"/>
        <v>11285</v>
      </c>
      <c r="I19" s="94">
        <f t="shared" ref="I19:I22" si="17">G19/D19*100</f>
        <v>10.143769968051117</v>
      </c>
      <c r="J19" s="94">
        <f t="shared" si="15"/>
        <v>24.069018470332296</v>
      </c>
      <c r="K19" s="106">
        <f>D19/D6*K6</f>
        <v>60.66237245625036</v>
      </c>
      <c r="L19" s="106">
        <f>E19/E6*L6</f>
        <v>53.505728762496005</v>
      </c>
      <c r="M19" s="107">
        <f>F19/F6*M6</f>
        <v>56.247884818070183</v>
      </c>
    </row>
    <row r="20" spans="1:13" ht="30">
      <c r="A20" s="15" t="s">
        <v>20</v>
      </c>
      <c r="B20" s="12" t="s">
        <v>35</v>
      </c>
      <c r="C20" s="13">
        <v>250</v>
      </c>
      <c r="D20" s="79">
        <v>0</v>
      </c>
      <c r="E20" s="79">
        <v>0</v>
      </c>
      <c r="F20" s="79">
        <v>0</v>
      </c>
      <c r="G20" s="84">
        <f t="shared" si="14"/>
        <v>0</v>
      </c>
      <c r="H20" s="84">
        <f t="shared" si="14"/>
        <v>0</v>
      </c>
      <c r="I20" s="94" t="e">
        <f t="shared" si="17"/>
        <v>#DIV/0!</v>
      </c>
      <c r="J20" s="94" t="e">
        <f t="shared" si="15"/>
        <v>#DIV/0!</v>
      </c>
      <c r="K20" s="106">
        <f>D20/D6*K6</f>
        <v>0</v>
      </c>
      <c r="L20" s="106">
        <f>E20/E6*L6</f>
        <v>0</v>
      </c>
      <c r="M20" s="107">
        <f>F20/F6*M6</f>
        <v>0</v>
      </c>
    </row>
    <row r="21" spans="1:13">
      <c r="A21" s="15" t="s">
        <v>21</v>
      </c>
      <c r="B21" s="12" t="s">
        <v>36</v>
      </c>
      <c r="C21" s="13">
        <v>260</v>
      </c>
      <c r="D21" s="79">
        <v>247</v>
      </c>
      <c r="E21" s="79">
        <v>3299</v>
      </c>
      <c r="F21" s="79">
        <v>3314</v>
      </c>
      <c r="G21" s="84">
        <f t="shared" ref="G21:G22" si="18">E21-D21</f>
        <v>3052</v>
      </c>
      <c r="H21" s="84">
        <f t="shared" ref="H21:H22" si="19">F21-E21</f>
        <v>15</v>
      </c>
      <c r="I21" s="94">
        <f>G21/D21*100</f>
        <v>1235.6275303643724</v>
      </c>
      <c r="J21" s="94">
        <f t="shared" si="15"/>
        <v>0.45468323734464994</v>
      </c>
      <c r="K21" s="106">
        <f>D21/D6*K6</f>
        <v>0.35199224762013342</v>
      </c>
      <c r="L21" s="106">
        <f>E21/E6*L6</f>
        <v>3.7647783813392981</v>
      </c>
      <c r="M21" s="107">
        <f t="shared" ref="M21" si="20">F21/F6*M6</f>
        <v>3.2044401899070771</v>
      </c>
    </row>
    <row r="22" spans="1:13" ht="15.75" thickBot="1">
      <c r="A22" s="19" t="s">
        <v>22</v>
      </c>
      <c r="B22" s="20" t="s">
        <v>37</v>
      </c>
      <c r="C22" s="21">
        <v>270</v>
      </c>
      <c r="D22" s="80">
        <v>2142</v>
      </c>
      <c r="E22" s="80">
        <v>3410</v>
      </c>
      <c r="F22" s="80">
        <v>1853</v>
      </c>
      <c r="G22" s="91">
        <f t="shared" si="18"/>
        <v>1268</v>
      </c>
      <c r="H22" s="91">
        <f t="shared" si="19"/>
        <v>-1557</v>
      </c>
      <c r="I22" s="95">
        <f t="shared" si="17"/>
        <v>59.197012138188612</v>
      </c>
      <c r="J22" s="95">
        <f t="shared" si="15"/>
        <v>-45.659824046920825</v>
      </c>
      <c r="K22" s="108">
        <f>D22/D6*K6</f>
        <v>3.0524995724790513</v>
      </c>
      <c r="L22" s="108">
        <f>E22/E6*L6</f>
        <v>3.8914502213904232</v>
      </c>
      <c r="M22" s="109">
        <f>F22/F6*M6</f>
        <v>1.791740395865363</v>
      </c>
    </row>
    <row r="23" spans="1:13">
      <c r="A23" s="2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>
      <c r="A24" s="88"/>
      <c r="B24" s="309" t="s">
        <v>281</v>
      </c>
      <c r="C24" s="310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ht="16.5" customHeight="1">
      <c r="A25" s="89"/>
      <c r="B25" s="315" t="s">
        <v>282</v>
      </c>
      <c r="C25" s="315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ht="17.25" customHeight="1">
      <c r="A26" s="90"/>
      <c r="B26" s="315"/>
      <c r="C26" s="315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>
      <c r="A27" s="96"/>
      <c r="B27" s="315"/>
      <c r="C27" s="315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</sheetData>
  <mergeCells count="34">
    <mergeCell ref="A1:M1"/>
    <mergeCell ref="E8:E9"/>
    <mergeCell ref="D16:D17"/>
    <mergeCell ref="L8:L9"/>
    <mergeCell ref="L16:L17"/>
    <mergeCell ref="G3:H3"/>
    <mergeCell ref="G8:G9"/>
    <mergeCell ref="G16:G17"/>
    <mergeCell ref="K8:K9"/>
    <mergeCell ref="M8:M9"/>
    <mergeCell ref="B16:B17"/>
    <mergeCell ref="C16:C17"/>
    <mergeCell ref="F16:F17"/>
    <mergeCell ref="K3:M3"/>
    <mergeCell ref="K16:K17"/>
    <mergeCell ref="D3:F3"/>
    <mergeCell ref="B24:C24"/>
    <mergeCell ref="A3:A4"/>
    <mergeCell ref="B3:B4"/>
    <mergeCell ref="C3:C4"/>
    <mergeCell ref="B25:C27"/>
    <mergeCell ref="I3:J3"/>
    <mergeCell ref="M16:M17"/>
    <mergeCell ref="B8:B9"/>
    <mergeCell ref="C8:C9"/>
    <mergeCell ref="D8:D9"/>
    <mergeCell ref="F8:F9"/>
    <mergeCell ref="H8:H9"/>
    <mergeCell ref="J8:J9"/>
    <mergeCell ref="H16:H17"/>
    <mergeCell ref="J16:J17"/>
    <mergeCell ref="I8:I9"/>
    <mergeCell ref="E16:E17"/>
    <mergeCell ref="I16:I17"/>
  </mergeCells>
  <pageMargins left="0.7" right="0.7" top="0.75" bottom="0.75" header="0.3" footer="0.3"/>
  <pageSetup paperSize="9" orientation="portrait" horizontalDpi="4294967293" verticalDpi="0" r:id="rId1"/>
  <ignoredErrors>
    <ignoredError sqref="B6:B22" numberStoredAsText="1"/>
  </ignoredError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K27"/>
  <sheetViews>
    <sheetView workbookViewId="0">
      <selection activeCell="I16" sqref="I16"/>
    </sheetView>
  </sheetViews>
  <sheetFormatPr defaultRowHeight="15"/>
  <cols>
    <col min="1" max="1" width="29.85546875" customWidth="1"/>
    <col min="2" max="2" width="11.85546875" customWidth="1"/>
    <col min="3" max="3" width="7.7109375" customWidth="1"/>
    <col min="4" max="4" width="11.85546875" customWidth="1"/>
    <col min="5" max="5" width="7.28515625" customWidth="1"/>
    <col min="6" max="6" width="11.85546875" customWidth="1"/>
    <col min="7" max="7" width="8.42578125" customWidth="1"/>
    <col min="8" max="11" width="11.85546875" customWidth="1"/>
  </cols>
  <sheetData>
    <row r="1" spans="1:11" ht="42" customHeight="1">
      <c r="A1" s="361" t="s">
        <v>177</v>
      </c>
      <c r="B1" s="362"/>
      <c r="C1" s="362"/>
      <c r="D1" s="362"/>
      <c r="E1" s="362"/>
      <c r="F1" s="362"/>
      <c r="G1" s="362"/>
      <c r="H1" s="362"/>
      <c r="I1" s="362"/>
      <c r="J1" s="362"/>
      <c r="K1" s="362"/>
    </row>
    <row r="2" spans="1:11" ht="15.75" thickBot="1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s="4" customFormat="1" ht="51" customHeight="1">
      <c r="A3" s="363" t="s">
        <v>194</v>
      </c>
      <c r="B3" s="327" t="s">
        <v>291</v>
      </c>
      <c r="C3" s="327"/>
      <c r="D3" s="327" t="s">
        <v>292</v>
      </c>
      <c r="E3" s="327"/>
      <c r="F3" s="327" t="s">
        <v>293</v>
      </c>
      <c r="G3" s="327"/>
      <c r="H3" s="340" t="s">
        <v>294</v>
      </c>
      <c r="I3" s="340"/>
      <c r="J3" s="340" t="s">
        <v>295</v>
      </c>
      <c r="K3" s="341"/>
    </row>
    <row r="4" spans="1:11" s="4" customFormat="1" ht="17.25" customHeight="1" thickBot="1">
      <c r="A4" s="364"/>
      <c r="B4" s="123" t="s">
        <v>178</v>
      </c>
      <c r="C4" s="33" t="s">
        <v>179</v>
      </c>
      <c r="D4" s="123" t="s">
        <v>178</v>
      </c>
      <c r="E4" s="33" t="s">
        <v>179</v>
      </c>
      <c r="F4" s="123" t="s">
        <v>178</v>
      </c>
      <c r="G4" s="33" t="s">
        <v>179</v>
      </c>
      <c r="H4" s="116" t="s">
        <v>178</v>
      </c>
      <c r="I4" s="116" t="s">
        <v>179</v>
      </c>
      <c r="J4" s="116" t="s">
        <v>178</v>
      </c>
      <c r="K4" s="139" t="s">
        <v>179</v>
      </c>
    </row>
    <row r="5" spans="1:11" ht="15.75" thickBot="1">
      <c r="A5" s="181">
        <v>1</v>
      </c>
      <c r="B5" s="140">
        <v>2</v>
      </c>
      <c r="C5" s="182">
        <v>3</v>
      </c>
      <c r="D5" s="140">
        <v>4</v>
      </c>
      <c r="E5" s="182">
        <v>5</v>
      </c>
      <c r="F5" s="140">
        <v>6</v>
      </c>
      <c r="G5" s="182">
        <v>7</v>
      </c>
      <c r="H5" s="178">
        <v>8</v>
      </c>
      <c r="I5" s="178">
        <v>9</v>
      </c>
      <c r="J5" s="178">
        <v>10</v>
      </c>
      <c r="K5" s="141">
        <v>11</v>
      </c>
    </row>
    <row r="6" spans="1:11" ht="30" customHeight="1">
      <c r="A6" s="15" t="s">
        <v>180</v>
      </c>
      <c r="B6" s="179">
        <f>165144+17+0+897</f>
        <v>166058</v>
      </c>
      <c r="C6" s="155">
        <v>100</v>
      </c>
      <c r="D6" s="179">
        <f>198872+109+65</f>
        <v>199046</v>
      </c>
      <c r="E6" s="155">
        <v>100</v>
      </c>
      <c r="F6" s="179">
        <f>254129+352+109</f>
        <v>254590</v>
      </c>
      <c r="G6" s="155">
        <v>100</v>
      </c>
      <c r="H6" s="143">
        <f>D6-B6</f>
        <v>32988</v>
      </c>
      <c r="I6" s="193">
        <f>H6/B6*100</f>
        <v>19.865348251815632</v>
      </c>
      <c r="J6" s="194">
        <f>F6-D6</f>
        <v>55544</v>
      </c>
      <c r="K6" s="145">
        <f>J6/D6*100</f>
        <v>27.905107362117299</v>
      </c>
    </row>
    <row r="7" spans="1:11" ht="45">
      <c r="A7" s="15" t="s">
        <v>181</v>
      </c>
      <c r="B7" s="179">
        <f>-156820+324</f>
        <v>-156496</v>
      </c>
      <c r="C7" s="195">
        <f>B7/B6*C6</f>
        <v>-94.241770947500271</v>
      </c>
      <c r="D7" s="179">
        <f>-192290+2+(-1475)</f>
        <v>-193763</v>
      </c>
      <c r="E7" s="195">
        <f>D7/D$6*E$6</f>
        <v>-97.345839655155089</v>
      </c>
      <c r="F7" s="179">
        <f>-242444+28+(-159)</f>
        <v>-242575</v>
      </c>
      <c r="G7" s="195">
        <f>F7/F$6*G$6</f>
        <v>-95.280647315291262</v>
      </c>
      <c r="H7" s="143">
        <f t="shared" ref="H7:H19" si="0">D7-B7</f>
        <v>-37267</v>
      </c>
      <c r="I7" s="193">
        <f>H7/B7*100</f>
        <v>23.813388201615375</v>
      </c>
      <c r="J7" s="194">
        <f t="shared" ref="J7:J19" si="1">F7-D7</f>
        <v>-48812</v>
      </c>
      <c r="K7" s="145">
        <f t="shared" ref="K7:K20" si="2">J7/D7*100</f>
        <v>25.191600047480684</v>
      </c>
    </row>
    <row r="8" spans="1:11" ht="15" customHeight="1">
      <c r="A8" s="15" t="s">
        <v>182</v>
      </c>
      <c r="B8" s="179">
        <v>165144</v>
      </c>
      <c r="C8" s="195">
        <f>B8/B6*C6</f>
        <v>99.449589902323282</v>
      </c>
      <c r="D8" s="179">
        <v>198872</v>
      </c>
      <c r="E8" s="195">
        <f>D8/D$6*E$6</f>
        <v>99.912583021010221</v>
      </c>
      <c r="F8" s="179">
        <v>254129</v>
      </c>
      <c r="G8" s="195">
        <f>F8/F$6*G$6</f>
        <v>99.818924545347414</v>
      </c>
      <c r="H8" s="143">
        <f t="shared" si="0"/>
        <v>33728</v>
      </c>
      <c r="I8" s="193">
        <f>H8/B8*100</f>
        <v>20.423388073438939</v>
      </c>
      <c r="J8" s="194">
        <f t="shared" si="1"/>
        <v>55257</v>
      </c>
      <c r="K8" s="145">
        <f t="shared" si="2"/>
        <v>27.785208576370728</v>
      </c>
    </row>
    <row r="9" spans="1:11" ht="57" customHeight="1">
      <c r="A9" s="15" t="s">
        <v>183</v>
      </c>
      <c r="B9" s="179">
        <f>SUM(B10:B12)</f>
        <v>-156820</v>
      </c>
      <c r="C9" s="155">
        <v>100</v>
      </c>
      <c r="D9" s="179">
        <f>SUM(D10:D12)</f>
        <v>-192290</v>
      </c>
      <c r="E9" s="155">
        <v>100</v>
      </c>
      <c r="F9" s="179">
        <f>SUM(F10:F12)</f>
        <v>-242444</v>
      </c>
      <c r="G9" s="155">
        <v>100</v>
      </c>
      <c r="H9" s="143">
        <f t="shared" si="0"/>
        <v>-35470</v>
      </c>
      <c r="I9" s="193">
        <f>H9/B9*100</f>
        <v>22.618288483611785</v>
      </c>
      <c r="J9" s="194">
        <f t="shared" si="1"/>
        <v>-50154</v>
      </c>
      <c r="K9" s="145">
        <f t="shared" si="2"/>
        <v>26.082479588122109</v>
      </c>
    </row>
    <row r="10" spans="1:11" ht="45">
      <c r="A10" s="15" t="s">
        <v>184</v>
      </c>
      <c r="B10" s="179">
        <v>-156820</v>
      </c>
      <c r="C10" s="155">
        <v>100</v>
      </c>
      <c r="D10" s="179">
        <v>-192290</v>
      </c>
      <c r="E10" s="155">
        <v>100</v>
      </c>
      <c r="F10" s="179">
        <v>-242444</v>
      </c>
      <c r="G10" s="155">
        <v>100</v>
      </c>
      <c r="H10" s="143">
        <f t="shared" si="0"/>
        <v>-35470</v>
      </c>
      <c r="I10" s="193">
        <f>H10/B10*100</f>
        <v>22.618288483611785</v>
      </c>
      <c r="J10" s="194">
        <f t="shared" si="1"/>
        <v>-50154</v>
      </c>
      <c r="K10" s="145">
        <f t="shared" si="2"/>
        <v>26.082479588122109</v>
      </c>
    </row>
    <row r="11" spans="1:11" ht="30">
      <c r="A11" s="15" t="s">
        <v>185</v>
      </c>
      <c r="B11" s="179">
        <v>0</v>
      </c>
      <c r="C11" s="155" t="s">
        <v>280</v>
      </c>
      <c r="D11" s="179">
        <v>0</v>
      </c>
      <c r="E11" s="155" t="s">
        <v>280</v>
      </c>
      <c r="F11" s="179">
        <v>0</v>
      </c>
      <c r="G11" s="155" t="s">
        <v>280</v>
      </c>
      <c r="H11" s="143" t="s">
        <v>280</v>
      </c>
      <c r="I11" s="193" t="s">
        <v>280</v>
      </c>
      <c r="J11" s="143" t="s">
        <v>280</v>
      </c>
      <c r="K11" s="144" t="s">
        <v>280</v>
      </c>
    </row>
    <row r="12" spans="1:11" ht="30">
      <c r="A12" s="15" t="s">
        <v>186</v>
      </c>
      <c r="B12" s="179">
        <v>0</v>
      </c>
      <c r="C12" s="155" t="s">
        <v>280</v>
      </c>
      <c r="D12" s="179">
        <v>0</v>
      </c>
      <c r="E12" s="155" t="s">
        <v>280</v>
      </c>
      <c r="F12" s="179">
        <v>0</v>
      </c>
      <c r="G12" s="155" t="s">
        <v>280</v>
      </c>
      <c r="H12" s="143" t="s">
        <v>280</v>
      </c>
      <c r="I12" s="193" t="s">
        <v>280</v>
      </c>
      <c r="J12" s="143" t="s">
        <v>280</v>
      </c>
      <c r="K12" s="144" t="s">
        <v>280</v>
      </c>
    </row>
    <row r="13" spans="1:11" ht="30">
      <c r="A13" s="15" t="s">
        <v>187</v>
      </c>
      <c r="B13" s="179">
        <v>8324</v>
      </c>
      <c r="C13" s="195">
        <f>B13/B8*100</f>
        <v>5.0404495470619581</v>
      </c>
      <c r="D13" s="179">
        <v>6582</v>
      </c>
      <c r="E13" s="195">
        <f>D13/D8*100</f>
        <v>3.3096665191681076</v>
      </c>
      <c r="F13" s="179">
        <v>11685</v>
      </c>
      <c r="G13" s="195">
        <f>F13/F8*100</f>
        <v>4.5980584663694426</v>
      </c>
      <c r="H13" s="143">
        <f t="shared" si="0"/>
        <v>-1742</v>
      </c>
      <c r="I13" s="193">
        <f>H13/B13*100</f>
        <v>-20.927438731379144</v>
      </c>
      <c r="J13" s="194">
        <f t="shared" si="1"/>
        <v>5103</v>
      </c>
      <c r="K13" s="145">
        <f t="shared" si="2"/>
        <v>77.529626253418414</v>
      </c>
    </row>
    <row r="14" spans="1:11" ht="45">
      <c r="A14" s="15" t="s">
        <v>189</v>
      </c>
      <c r="B14" s="179">
        <v>17</v>
      </c>
      <c r="C14" s="175">
        <f>B14/B6*C6</f>
        <v>1.0237386937094268E-2</v>
      </c>
      <c r="D14" s="179">
        <v>109</v>
      </c>
      <c r="E14" s="175">
        <f>D14/D6*E6</f>
        <v>5.4761210976357222E-2</v>
      </c>
      <c r="F14" s="179">
        <f>352+0</f>
        <v>352</v>
      </c>
      <c r="G14" s="175">
        <f>F14/F6*G6</f>
        <v>0.13826151851997329</v>
      </c>
      <c r="H14" s="143">
        <f t="shared" si="0"/>
        <v>92</v>
      </c>
      <c r="I14" s="193">
        <f>H14/B14*100</f>
        <v>541.17647058823536</v>
      </c>
      <c r="J14" s="194">
        <f>F14-D14</f>
        <v>243</v>
      </c>
      <c r="K14" s="145">
        <f t="shared" si="2"/>
        <v>222.93577981651379</v>
      </c>
    </row>
    <row r="15" spans="1:11" ht="45">
      <c r="A15" s="15" t="s">
        <v>188</v>
      </c>
      <c r="B15" s="179">
        <v>0</v>
      </c>
      <c r="C15" s="195">
        <f>B15/B7*100</f>
        <v>0</v>
      </c>
      <c r="D15" s="179">
        <v>2</v>
      </c>
      <c r="E15" s="195">
        <f>D15/D7*100</f>
        <v>-1.0321888079767552E-3</v>
      </c>
      <c r="F15" s="179">
        <v>28</v>
      </c>
      <c r="G15" s="195">
        <f>F15/F7*100</f>
        <v>-1.1542821807688343E-2</v>
      </c>
      <c r="H15" s="143">
        <f t="shared" si="0"/>
        <v>2</v>
      </c>
      <c r="I15" s="193" t="e">
        <f>H15/B15*100</f>
        <v>#DIV/0!</v>
      </c>
      <c r="J15" s="194">
        <f t="shared" si="1"/>
        <v>26</v>
      </c>
      <c r="K15" s="145">
        <f t="shared" si="2"/>
        <v>1300</v>
      </c>
    </row>
    <row r="16" spans="1:11" ht="30">
      <c r="A16" s="15" t="s">
        <v>190</v>
      </c>
      <c r="B16" s="179">
        <v>897</v>
      </c>
      <c r="C16" s="195">
        <f>B16/B6*C6</f>
        <v>0.54017271073962114</v>
      </c>
      <c r="D16" s="179">
        <v>65</v>
      </c>
      <c r="E16" s="195">
        <f>D16/D6*E6</f>
        <v>3.2655768013424034E-2</v>
      </c>
      <c r="F16" s="179">
        <f>109+0+0</f>
        <v>109</v>
      </c>
      <c r="G16" s="195">
        <f>F16/F6*G6</f>
        <v>4.2813936132605368E-2</v>
      </c>
      <c r="H16" s="143">
        <f t="shared" si="0"/>
        <v>-832</v>
      </c>
      <c r="I16" s="193">
        <f t="shared" ref="I16:I19" si="3">H16/B16*100</f>
        <v>-92.753623188405797</v>
      </c>
      <c r="J16" s="194">
        <f>F16-D16</f>
        <v>44</v>
      </c>
      <c r="K16" s="145">
        <f t="shared" si="2"/>
        <v>67.692307692307693</v>
      </c>
    </row>
    <row r="17" spans="1:11" ht="30">
      <c r="A17" s="15" t="s">
        <v>191</v>
      </c>
      <c r="B17" s="179">
        <v>324</v>
      </c>
      <c r="C17" s="195">
        <f>B17/B9*100</f>
        <v>-0.20660630021680906</v>
      </c>
      <c r="D17" s="179">
        <v>-1475</v>
      </c>
      <c r="E17" s="195">
        <f>D17/D9*100</f>
        <v>0.76707057049248528</v>
      </c>
      <c r="F17" s="179">
        <v>-159</v>
      </c>
      <c r="G17" s="195">
        <f>F17/F9*100</f>
        <v>6.5582155054363073E-2</v>
      </c>
      <c r="H17" s="143">
        <f t="shared" si="0"/>
        <v>-1799</v>
      </c>
      <c r="I17" s="193">
        <f>H17/B17*100</f>
        <v>-555.24691358024688</v>
      </c>
      <c r="J17" s="194">
        <f t="shared" si="1"/>
        <v>1316</v>
      </c>
      <c r="K17" s="145">
        <f t="shared" si="2"/>
        <v>-89.220338983050851</v>
      </c>
    </row>
    <row r="18" spans="1:11" ht="30">
      <c r="A18" s="15" t="s">
        <v>193</v>
      </c>
      <c r="B18" s="179">
        <v>9238</v>
      </c>
      <c r="C18" s="195">
        <f>B18/B6*C6</f>
        <v>5.5631165014633446</v>
      </c>
      <c r="D18" s="179">
        <v>6758</v>
      </c>
      <c r="E18" s="195">
        <f>D18/D6*100</f>
        <v>3.3951950805341475</v>
      </c>
      <c r="F18" s="179">
        <v>12174</v>
      </c>
      <c r="G18" s="195">
        <f>F18/F6*100</f>
        <v>4.7818060410856669</v>
      </c>
      <c r="H18" s="143">
        <f t="shared" si="0"/>
        <v>-2480</v>
      </c>
      <c r="I18" s="193">
        <f t="shared" si="3"/>
        <v>-26.845637583892618</v>
      </c>
      <c r="J18" s="194">
        <f t="shared" si="1"/>
        <v>5416</v>
      </c>
      <c r="K18" s="145">
        <f t="shared" si="2"/>
        <v>80.142053862089384</v>
      </c>
    </row>
    <row r="19" spans="1:11" ht="30">
      <c r="A19" s="15" t="s">
        <v>297</v>
      </c>
      <c r="B19" s="179">
        <v>-2217</v>
      </c>
      <c r="C19" s="195">
        <f>B19/B18*100</f>
        <v>-23.998701017536263</v>
      </c>
      <c r="D19" s="179">
        <v>-1622</v>
      </c>
      <c r="E19" s="195">
        <f>D19/D18*100</f>
        <v>-24.001183782184079</v>
      </c>
      <c r="F19" s="179">
        <v>-2435</v>
      </c>
      <c r="G19" s="195">
        <f>F19/F18*100</f>
        <v>-20.001642845408245</v>
      </c>
      <c r="H19" s="143">
        <f t="shared" si="0"/>
        <v>595</v>
      </c>
      <c r="I19" s="193">
        <f t="shared" si="3"/>
        <v>-26.838069463238611</v>
      </c>
      <c r="J19" s="194">
        <f t="shared" si="1"/>
        <v>-813</v>
      </c>
      <c r="K19" s="145">
        <f t="shared" si="2"/>
        <v>50.1233045622688</v>
      </c>
    </row>
    <row r="20" spans="1:11" ht="20.25" customHeight="1" thickBot="1">
      <c r="A20" s="19" t="s">
        <v>192</v>
      </c>
      <c r="B20" s="180">
        <v>6697</v>
      </c>
      <c r="C20" s="196">
        <f>B20/B6*C6</f>
        <v>4.0329282539835472</v>
      </c>
      <c r="D20" s="180">
        <v>3661</v>
      </c>
      <c r="E20" s="196">
        <f>D20/D6*100</f>
        <v>1.8392733338022365</v>
      </c>
      <c r="F20" s="180">
        <v>9580</v>
      </c>
      <c r="G20" s="196">
        <f>F20/F6*100</f>
        <v>3.7629129188106369</v>
      </c>
      <c r="H20" s="197">
        <f>D20-B20</f>
        <v>-3036</v>
      </c>
      <c r="I20" s="198">
        <f>H20/B20*100</f>
        <v>-45.333731521576823</v>
      </c>
      <c r="J20" s="199">
        <f>F20-D20</f>
        <v>5919</v>
      </c>
      <c r="K20" s="146">
        <f t="shared" si="2"/>
        <v>161.67713739415461</v>
      </c>
    </row>
    <row r="21" spans="1:11" ht="15.75" thickBot="1"/>
    <row r="22" spans="1:11">
      <c r="A22" s="355" t="s">
        <v>298</v>
      </c>
      <c r="B22" s="356"/>
      <c r="C22" s="357"/>
    </row>
    <row r="23" spans="1:11" ht="17.25">
      <c r="A23" s="358" t="s">
        <v>299</v>
      </c>
      <c r="B23" s="359"/>
      <c r="C23" s="360"/>
    </row>
    <row r="24" spans="1:11" ht="17.25">
      <c r="A24" s="358" t="s">
        <v>300</v>
      </c>
      <c r="B24" s="359"/>
      <c r="C24" s="360"/>
    </row>
    <row r="25" spans="1:11" ht="17.25">
      <c r="A25" s="358" t="s">
        <v>301</v>
      </c>
      <c r="B25" s="359"/>
      <c r="C25" s="360"/>
    </row>
    <row r="26" spans="1:11" ht="17.25">
      <c r="A26" s="358" t="s">
        <v>302</v>
      </c>
      <c r="B26" s="359"/>
      <c r="C26" s="360"/>
    </row>
    <row r="27" spans="1:11" ht="18" thickBot="1">
      <c r="A27" s="352" t="s">
        <v>303</v>
      </c>
      <c r="B27" s="353"/>
      <c r="C27" s="354"/>
    </row>
  </sheetData>
  <mergeCells count="13">
    <mergeCell ref="A1:K1"/>
    <mergeCell ref="A3:A4"/>
    <mergeCell ref="B3:C3"/>
    <mergeCell ref="F3:G3"/>
    <mergeCell ref="J3:K3"/>
    <mergeCell ref="D3:E3"/>
    <mergeCell ref="H3:I3"/>
    <mergeCell ref="A27:C27"/>
    <mergeCell ref="A22:C22"/>
    <mergeCell ref="A23:C23"/>
    <mergeCell ref="A24:C24"/>
    <mergeCell ref="A25:C25"/>
    <mergeCell ref="A26:C26"/>
  </mergeCells>
  <pageMargins left="0.7" right="0.7" top="0.75" bottom="0.75" header="0.3" footer="0.3"/>
  <pageSetup paperSize="0" orientation="portrait" horizontalDpi="0" verticalDpi="0" copies="0"/>
  <ignoredErrors>
    <ignoredError sqref="I13 I14 F14 C16:G16 J13:J20 I16:I20 I6:I10 F7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>
  <dimension ref="A1:G17"/>
  <sheetViews>
    <sheetView workbookViewId="0">
      <selection activeCell="B15" sqref="B15"/>
    </sheetView>
  </sheetViews>
  <sheetFormatPr defaultRowHeight="15"/>
  <cols>
    <col min="1" max="1" width="38" customWidth="1"/>
    <col min="2" max="2" width="10.42578125" customWidth="1"/>
    <col min="3" max="3" width="11.85546875" customWidth="1"/>
    <col min="4" max="4" width="11.7109375" customWidth="1"/>
    <col min="5" max="5" width="11.42578125" customWidth="1"/>
    <col min="6" max="6" width="11.28515625" bestFit="1" customWidth="1"/>
    <col min="7" max="7" width="12.140625" bestFit="1" customWidth="1"/>
  </cols>
  <sheetData>
    <row r="1" spans="1:7" ht="30.75" customHeight="1">
      <c r="A1" s="362" t="s">
        <v>195</v>
      </c>
      <c r="B1" s="362"/>
      <c r="C1" s="362"/>
      <c r="D1" s="362"/>
      <c r="E1" s="362"/>
      <c r="F1" s="362"/>
      <c r="G1" s="362"/>
    </row>
    <row r="2" spans="1:7" ht="15.75" thickBot="1">
      <c r="A2" s="5"/>
      <c r="B2" s="5"/>
      <c r="C2" s="5"/>
      <c r="D2" s="5"/>
      <c r="E2" s="5"/>
      <c r="F2" s="5"/>
      <c r="G2" s="5"/>
    </row>
    <row r="3" spans="1:7" s="4" customFormat="1">
      <c r="A3" s="311" t="s">
        <v>0</v>
      </c>
      <c r="B3" s="313" t="s">
        <v>1</v>
      </c>
      <c r="C3" s="365">
        <v>2007</v>
      </c>
      <c r="D3" s="365">
        <v>2008</v>
      </c>
      <c r="E3" s="365">
        <v>2009</v>
      </c>
      <c r="F3" s="340" t="s">
        <v>196</v>
      </c>
      <c r="G3" s="341"/>
    </row>
    <row r="4" spans="1:7" s="4" customFormat="1" ht="15.75" thickBot="1">
      <c r="A4" s="346"/>
      <c r="B4" s="347"/>
      <c r="C4" s="366"/>
      <c r="D4" s="366"/>
      <c r="E4" s="366"/>
      <c r="F4" s="200" t="s">
        <v>101</v>
      </c>
      <c r="G4" s="201" t="s">
        <v>102</v>
      </c>
    </row>
    <row r="5" spans="1:7" s="4" customFormat="1" ht="15.75" thickBot="1">
      <c r="A5" s="22">
        <v>1</v>
      </c>
      <c r="B5" s="23">
        <v>2</v>
      </c>
      <c r="C5" s="118">
        <v>3</v>
      </c>
      <c r="D5" s="118">
        <v>4</v>
      </c>
      <c r="E5" s="118">
        <v>5</v>
      </c>
      <c r="F5" s="134">
        <v>6</v>
      </c>
      <c r="G5" s="135">
        <v>7</v>
      </c>
    </row>
    <row r="6" spans="1:7" ht="25.5">
      <c r="A6" s="202" t="s">
        <v>197</v>
      </c>
      <c r="B6" s="203" t="s">
        <v>23</v>
      </c>
      <c r="C6" s="179">
        <v>165144</v>
      </c>
      <c r="D6" s="179">
        <v>198872</v>
      </c>
      <c r="E6" s="179">
        <v>254129</v>
      </c>
      <c r="F6" s="204">
        <f>D6-C6</f>
        <v>33728</v>
      </c>
      <c r="G6" s="205">
        <f>E6-D6</f>
        <v>55257</v>
      </c>
    </row>
    <row r="7" spans="1:7" ht="25.5">
      <c r="A7" s="54" t="s">
        <v>198</v>
      </c>
      <c r="B7" s="186" t="s">
        <v>24</v>
      </c>
      <c r="C7" s="179">
        <v>-156820</v>
      </c>
      <c r="D7" s="179">
        <v>-192290</v>
      </c>
      <c r="E7" s="179">
        <v>-242444</v>
      </c>
      <c r="F7" s="204">
        <f t="shared" ref="F7:G12" si="0">D7-C7</f>
        <v>-35470</v>
      </c>
      <c r="G7" s="205">
        <f t="shared" si="0"/>
        <v>-50154</v>
      </c>
    </row>
    <row r="8" spans="1:7">
      <c r="A8" s="54" t="s">
        <v>199</v>
      </c>
      <c r="B8" s="186" t="s">
        <v>25</v>
      </c>
      <c r="C8" s="206">
        <f>C6-C7</f>
        <v>321964</v>
      </c>
      <c r="D8" s="206">
        <f t="shared" ref="D8" si="1">D6-D7</f>
        <v>391162</v>
      </c>
      <c r="E8" s="206">
        <f>E6-E7</f>
        <v>496573</v>
      </c>
      <c r="F8" s="204">
        <f t="shared" si="0"/>
        <v>69198</v>
      </c>
      <c r="G8" s="205">
        <f t="shared" si="0"/>
        <v>105411</v>
      </c>
    </row>
    <row r="9" spans="1:7" ht="26.25" thickBot="1">
      <c r="A9" s="54" t="s">
        <v>304</v>
      </c>
      <c r="B9" s="186" t="s">
        <v>26</v>
      </c>
      <c r="C9" s="207">
        <f>(C8/C6)*100</f>
        <v>194.95955045293806</v>
      </c>
      <c r="D9" s="207">
        <f>(D8/D6)*100</f>
        <v>196.6903334808319</v>
      </c>
      <c r="E9" s="207">
        <f>(E8/E6)*100</f>
        <v>195.40194153363055</v>
      </c>
      <c r="F9" s="208">
        <f t="shared" si="0"/>
        <v>1.7307830278938354</v>
      </c>
      <c r="G9" s="209">
        <f t="shared" si="0"/>
        <v>-1.2883919472013474</v>
      </c>
    </row>
    <row r="10" spans="1:7">
      <c r="A10" s="210" t="s">
        <v>200</v>
      </c>
      <c r="B10" s="49" t="s">
        <v>27</v>
      </c>
      <c r="C10" s="183">
        <v>70172</v>
      </c>
      <c r="D10" s="183">
        <v>87628</v>
      </c>
      <c r="E10" s="183">
        <v>103419</v>
      </c>
      <c r="F10" s="204">
        <f t="shared" si="0"/>
        <v>17456</v>
      </c>
      <c r="G10" s="205">
        <f t="shared" si="0"/>
        <v>15791</v>
      </c>
    </row>
    <row r="11" spans="1:7" ht="25.5">
      <c r="A11" s="54" t="s">
        <v>305</v>
      </c>
      <c r="B11" s="186" t="s">
        <v>28</v>
      </c>
      <c r="C11" s="207">
        <f>C6/C10</f>
        <v>2.3534173174485549</v>
      </c>
      <c r="D11" s="207">
        <f t="shared" ref="D11:E11" si="2">D6/D10</f>
        <v>2.2695028986168806</v>
      </c>
      <c r="E11" s="207">
        <f t="shared" si="2"/>
        <v>2.4572757423684237</v>
      </c>
      <c r="F11" s="208">
        <f t="shared" si="0"/>
        <v>-8.3914418831674276E-2</v>
      </c>
      <c r="G11" s="209">
        <f t="shared" si="0"/>
        <v>0.18777284375154313</v>
      </c>
    </row>
    <row r="12" spans="1:7" ht="26.25" thickBot="1">
      <c r="A12" s="55" t="s">
        <v>201</v>
      </c>
      <c r="B12" s="32" t="s">
        <v>29</v>
      </c>
      <c r="C12" s="211">
        <f>(C8/C10)*100</f>
        <v>458.82118223792963</v>
      </c>
      <c r="D12" s="211">
        <f t="shared" ref="D12:E12" si="3">(D8/D10)*100</f>
        <v>446.3892819646689</v>
      </c>
      <c r="E12" s="211">
        <f t="shared" si="3"/>
        <v>480.15645094228336</v>
      </c>
      <c r="F12" s="208">
        <f t="shared" si="0"/>
        <v>-12.431900273260737</v>
      </c>
      <c r="G12" s="209">
        <f t="shared" si="0"/>
        <v>33.76716897761446</v>
      </c>
    </row>
    <row r="15" spans="1:7">
      <c r="A15" t="s">
        <v>306</v>
      </c>
    </row>
    <row r="16" spans="1:7">
      <c r="A16" t="s">
        <v>307</v>
      </c>
    </row>
    <row r="17" spans="1:1">
      <c r="A17" t="s">
        <v>308</v>
      </c>
    </row>
  </sheetData>
  <mergeCells count="7">
    <mergeCell ref="A1:G1"/>
    <mergeCell ref="A3:A4"/>
    <mergeCell ref="B3:B4"/>
    <mergeCell ref="C3:C4"/>
    <mergeCell ref="D3:D4"/>
    <mergeCell ref="E3:E4"/>
    <mergeCell ref="F3:G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G23"/>
  <sheetViews>
    <sheetView workbookViewId="0">
      <selection activeCell="C17" sqref="C17"/>
    </sheetView>
  </sheetViews>
  <sheetFormatPr defaultRowHeight="15"/>
  <cols>
    <col min="1" max="1" width="38" customWidth="1"/>
    <col min="2" max="2" width="13.85546875" bestFit="1" customWidth="1"/>
    <col min="3" max="6" width="11.42578125" customWidth="1"/>
    <col min="7" max="7" width="12.140625" customWidth="1"/>
  </cols>
  <sheetData>
    <row r="1" spans="1:7" ht="45" customHeight="1">
      <c r="A1" s="367" t="s">
        <v>203</v>
      </c>
      <c r="B1" s="367"/>
      <c r="C1" s="367"/>
      <c r="D1" s="367"/>
      <c r="E1" s="367"/>
      <c r="F1" s="367"/>
      <c r="G1" s="367"/>
    </row>
    <row r="2" spans="1:7" ht="15.75" thickBot="1">
      <c r="A2" s="5"/>
      <c r="B2" s="5"/>
      <c r="C2" s="5"/>
      <c r="D2" s="5"/>
      <c r="E2" s="5"/>
      <c r="F2" s="5"/>
      <c r="G2" s="5"/>
    </row>
    <row r="3" spans="1:7" s="4" customFormat="1" ht="37.5" customHeight="1">
      <c r="A3" s="363" t="s">
        <v>0</v>
      </c>
      <c r="B3" s="368" t="s">
        <v>1</v>
      </c>
      <c r="C3" s="327">
        <v>2007</v>
      </c>
      <c r="D3" s="365">
        <v>2008</v>
      </c>
      <c r="E3" s="365">
        <v>2009</v>
      </c>
      <c r="F3" s="372" t="s">
        <v>202</v>
      </c>
      <c r="G3" s="373"/>
    </row>
    <row r="4" spans="1:7" s="4" customFormat="1" ht="15.75" thickBot="1">
      <c r="A4" s="364"/>
      <c r="B4" s="369"/>
      <c r="C4" s="370"/>
      <c r="D4" s="371"/>
      <c r="E4" s="371"/>
      <c r="F4" s="116" t="s">
        <v>101</v>
      </c>
      <c r="G4" s="139" t="s">
        <v>102</v>
      </c>
    </row>
    <row r="5" spans="1:7" s="4" customFormat="1" ht="15.75" thickBot="1">
      <c r="A5" s="22">
        <v>1</v>
      </c>
      <c r="B5" s="23">
        <v>2</v>
      </c>
      <c r="C5" s="118">
        <v>3</v>
      </c>
      <c r="D5" s="118">
        <v>4</v>
      </c>
      <c r="E5" s="118">
        <v>5</v>
      </c>
      <c r="F5" s="134">
        <v>6</v>
      </c>
      <c r="G5" s="135">
        <v>7</v>
      </c>
    </row>
    <row r="6" spans="1:7">
      <c r="A6" s="57" t="s">
        <v>204</v>
      </c>
      <c r="B6" s="185" t="s">
        <v>23</v>
      </c>
      <c r="C6" s="184">
        <v>321964</v>
      </c>
      <c r="D6" s="184">
        <v>391162</v>
      </c>
      <c r="E6" s="184">
        <v>496573</v>
      </c>
      <c r="F6" s="204">
        <f t="shared" ref="F6:G15" si="0">D6-C6</f>
        <v>69198</v>
      </c>
      <c r="G6" s="205">
        <f t="shared" si="0"/>
        <v>105411</v>
      </c>
    </row>
    <row r="7" spans="1:7" ht="25.5">
      <c r="A7" s="54" t="s">
        <v>205</v>
      </c>
      <c r="B7" s="186" t="s">
        <v>24</v>
      </c>
      <c r="C7" s="187">
        <v>7817</v>
      </c>
      <c r="D7" s="187">
        <v>7439</v>
      </c>
      <c r="E7" s="187">
        <v>6105</v>
      </c>
      <c r="F7" s="204">
        <f t="shared" si="0"/>
        <v>-378</v>
      </c>
      <c r="G7" s="205">
        <f t="shared" si="0"/>
        <v>-1334</v>
      </c>
    </row>
    <row r="8" spans="1:7" ht="25.5">
      <c r="A8" s="54" t="s">
        <v>206</v>
      </c>
      <c r="B8" s="186" t="s">
        <v>25</v>
      </c>
      <c r="C8" s="187">
        <v>7386</v>
      </c>
      <c r="D8" s="187">
        <v>13307</v>
      </c>
      <c r="E8" s="187">
        <v>14994</v>
      </c>
      <c r="F8" s="115">
        <f t="shared" si="0"/>
        <v>5921</v>
      </c>
      <c r="G8" s="205">
        <f t="shared" si="0"/>
        <v>1687</v>
      </c>
    </row>
    <row r="9" spans="1:7">
      <c r="A9" s="54" t="s">
        <v>207</v>
      </c>
      <c r="B9" s="186" t="s">
        <v>26</v>
      </c>
      <c r="C9" s="187">
        <v>22150</v>
      </c>
      <c r="D9" s="187">
        <v>46951</v>
      </c>
      <c r="E9" s="187">
        <v>63387</v>
      </c>
      <c r="F9" s="115">
        <f t="shared" si="0"/>
        <v>24801</v>
      </c>
      <c r="G9" s="205">
        <f t="shared" si="0"/>
        <v>16436</v>
      </c>
    </row>
    <row r="10" spans="1:7">
      <c r="A10" s="54" t="s">
        <v>208</v>
      </c>
      <c r="B10" s="186" t="s">
        <v>27</v>
      </c>
      <c r="C10" s="187">
        <v>165144</v>
      </c>
      <c r="D10" s="187">
        <v>198872</v>
      </c>
      <c r="E10" s="187">
        <v>254129</v>
      </c>
      <c r="F10" s="115">
        <f t="shared" si="0"/>
        <v>33728</v>
      </c>
      <c r="G10" s="205">
        <f t="shared" si="0"/>
        <v>55257</v>
      </c>
    </row>
    <row r="11" spans="1:7" ht="25.5">
      <c r="A11" s="54" t="s">
        <v>209</v>
      </c>
      <c r="B11" s="212" t="s">
        <v>28</v>
      </c>
      <c r="C11" s="175">
        <f>C6/C10</f>
        <v>1.9495955045293805</v>
      </c>
      <c r="D11" s="175">
        <f t="shared" ref="D11:E11" si="1">D6/D10</f>
        <v>1.9669033348083189</v>
      </c>
      <c r="E11" s="175">
        <f t="shared" si="1"/>
        <v>1.9540194153363055</v>
      </c>
      <c r="F11" s="249">
        <f t="shared" si="0"/>
        <v>1.7307830278938452E-2</v>
      </c>
      <c r="G11" s="214">
        <f t="shared" si="0"/>
        <v>-1.2883919472013394E-2</v>
      </c>
    </row>
    <row r="12" spans="1:7">
      <c r="A12" s="54" t="s">
        <v>213</v>
      </c>
      <c r="B12" s="212" t="s">
        <v>29</v>
      </c>
      <c r="C12" s="175">
        <f>C10/C7</f>
        <v>21.126263272355125</v>
      </c>
      <c r="D12" s="175">
        <f t="shared" ref="D12:E12" si="2">D10/D7</f>
        <v>26.733700766232019</v>
      </c>
      <c r="E12" s="175">
        <f t="shared" si="2"/>
        <v>41.626371826371823</v>
      </c>
      <c r="F12" s="213">
        <f t="shared" si="0"/>
        <v>5.6074374938768941</v>
      </c>
      <c r="G12" s="214">
        <f t="shared" si="0"/>
        <v>14.892671060139804</v>
      </c>
    </row>
    <row r="13" spans="1:7" ht="25.5">
      <c r="A13" s="59" t="s">
        <v>210</v>
      </c>
      <c r="B13" s="212" t="s">
        <v>30</v>
      </c>
      <c r="C13" s="175">
        <f>C10/C8</f>
        <v>22.359057676685623</v>
      </c>
      <c r="D13" s="175">
        <f t="shared" ref="D13:E13" si="3">D10/D8</f>
        <v>14.94491620951379</v>
      </c>
      <c r="E13" s="175">
        <f t="shared" si="3"/>
        <v>16.948712818460717</v>
      </c>
      <c r="F13" s="213">
        <f t="shared" si="0"/>
        <v>-7.4141414671718326</v>
      </c>
      <c r="G13" s="214">
        <f t="shared" si="0"/>
        <v>2.0037966089469261</v>
      </c>
    </row>
    <row r="14" spans="1:7" ht="25.5">
      <c r="A14" s="60" t="s">
        <v>212</v>
      </c>
      <c r="B14" s="212" t="s">
        <v>31</v>
      </c>
      <c r="C14" s="195">
        <f>(C6/C7)*100</f>
        <v>4118.7667903287702</v>
      </c>
      <c r="D14" s="195">
        <f t="shared" ref="D14:E14" si="4">(D6/D7)*100</f>
        <v>5258.2605188869475</v>
      </c>
      <c r="E14" s="195">
        <f t="shared" si="4"/>
        <v>8133.8738738738739</v>
      </c>
      <c r="F14" s="208">
        <f>D14-C14</f>
        <v>1139.4937285581773</v>
      </c>
      <c r="G14" s="209">
        <f t="shared" si="0"/>
        <v>2875.6133549869264</v>
      </c>
    </row>
    <row r="15" spans="1:7" ht="26.25" thickBot="1">
      <c r="A15" s="58" t="s">
        <v>211</v>
      </c>
      <c r="B15" s="215" t="s">
        <v>32</v>
      </c>
      <c r="C15" s="196">
        <f>C6/(C7+C8+C9)*100</f>
        <v>861.94950874093104</v>
      </c>
      <c r="D15" s="196">
        <f t="shared" ref="D15:E15" si="5">D6/(D7+D8+D9)*100</f>
        <v>577.81290160568415</v>
      </c>
      <c r="E15" s="196">
        <f t="shared" si="5"/>
        <v>587.75773500935065</v>
      </c>
      <c r="F15" s="250">
        <f t="shared" si="0"/>
        <v>-284.13660713524689</v>
      </c>
      <c r="G15" s="251">
        <f t="shared" si="0"/>
        <v>9.9448334036665074</v>
      </c>
    </row>
    <row r="17" spans="1:1">
      <c r="A17" s="245" t="s">
        <v>342</v>
      </c>
    </row>
    <row r="18" spans="1:1">
      <c r="A18" s="245" t="s">
        <v>341</v>
      </c>
    </row>
    <row r="19" spans="1:1">
      <c r="A19" s="245" t="s">
        <v>340</v>
      </c>
    </row>
    <row r="20" spans="1:1">
      <c r="A20" s="245" t="s">
        <v>339</v>
      </c>
    </row>
    <row r="21" spans="1:1" ht="25.5">
      <c r="A21" s="216" t="s">
        <v>309</v>
      </c>
    </row>
    <row r="22" spans="1:1" ht="25.5">
      <c r="A22" s="216" t="s">
        <v>310</v>
      </c>
    </row>
    <row r="23" spans="1:1">
      <c r="A23" s="216" t="s">
        <v>311</v>
      </c>
    </row>
  </sheetData>
  <mergeCells count="7">
    <mergeCell ref="A1:G1"/>
    <mergeCell ref="A3:A4"/>
    <mergeCell ref="B3:B4"/>
    <mergeCell ref="C3:C4"/>
    <mergeCell ref="D3:D4"/>
    <mergeCell ref="E3:E4"/>
    <mergeCell ref="F3:G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I20"/>
  <sheetViews>
    <sheetView tabSelected="1" topLeftCell="A20" workbookViewId="0">
      <selection activeCell="G43" sqref="G43"/>
    </sheetView>
  </sheetViews>
  <sheetFormatPr defaultRowHeight="15"/>
  <cols>
    <col min="1" max="1" width="38" customWidth="1"/>
    <col min="2" max="2" width="10.42578125" customWidth="1"/>
    <col min="3" max="3" width="22.7109375" customWidth="1"/>
    <col min="4" max="7" width="11.42578125" customWidth="1"/>
    <col min="8" max="8" width="13.140625" customWidth="1"/>
  </cols>
  <sheetData>
    <row r="1" spans="1:9" ht="45" customHeight="1">
      <c r="A1" s="367" t="s">
        <v>214</v>
      </c>
      <c r="B1" s="367"/>
      <c r="C1" s="367"/>
      <c r="D1" s="367"/>
      <c r="E1" s="367"/>
      <c r="F1" s="367"/>
      <c r="G1" s="367"/>
      <c r="H1" s="367"/>
    </row>
    <row r="2" spans="1:9" ht="15.75" thickBot="1">
      <c r="A2" s="5"/>
      <c r="B2" s="5"/>
      <c r="C2" s="5"/>
      <c r="D2" s="5"/>
      <c r="E2" s="5"/>
      <c r="F2" s="5"/>
      <c r="G2" s="5"/>
      <c r="H2" s="5"/>
    </row>
    <row r="3" spans="1:9" s="4" customFormat="1" ht="37.5" customHeight="1">
      <c r="A3" s="311" t="s">
        <v>0</v>
      </c>
      <c r="B3" s="313" t="s">
        <v>1</v>
      </c>
      <c r="C3" s="313" t="s">
        <v>215</v>
      </c>
      <c r="D3" s="365" t="s">
        <v>343</v>
      </c>
      <c r="E3" s="365" t="s">
        <v>344</v>
      </c>
      <c r="F3" s="365" t="s">
        <v>345</v>
      </c>
      <c r="G3" s="374" t="s">
        <v>202</v>
      </c>
      <c r="H3" s="375"/>
    </row>
    <row r="4" spans="1:9" s="4" customFormat="1" ht="15.75" thickBot="1">
      <c r="A4" s="346"/>
      <c r="B4" s="347"/>
      <c r="C4" s="347"/>
      <c r="D4" s="366"/>
      <c r="E4" s="366"/>
      <c r="F4" s="366"/>
      <c r="G4" s="200" t="s">
        <v>101</v>
      </c>
      <c r="H4" s="201" t="s">
        <v>102</v>
      </c>
    </row>
    <row r="5" spans="1:9" s="4" customFormat="1" ht="15.75" thickBot="1">
      <c r="A5" s="22">
        <v>1</v>
      </c>
      <c r="B5" s="23">
        <v>2</v>
      </c>
      <c r="C5" s="23">
        <v>3</v>
      </c>
      <c r="D5" s="118">
        <v>4</v>
      </c>
      <c r="E5" s="118">
        <v>5</v>
      </c>
      <c r="F5" s="118">
        <v>6</v>
      </c>
      <c r="G5" s="134">
        <v>7</v>
      </c>
      <c r="H5" s="135">
        <v>8</v>
      </c>
    </row>
    <row r="6" spans="1:9">
      <c r="A6" s="57" t="s">
        <v>200</v>
      </c>
      <c r="B6" s="185" t="s">
        <v>23</v>
      </c>
      <c r="C6" s="185" t="s">
        <v>228</v>
      </c>
      <c r="D6" s="184">
        <v>70172</v>
      </c>
      <c r="E6" s="184">
        <v>87628</v>
      </c>
      <c r="F6" s="184">
        <v>103419</v>
      </c>
      <c r="G6" s="204">
        <f>E6-D6</f>
        <v>17456</v>
      </c>
      <c r="H6" s="205">
        <f>F6-E6</f>
        <v>15791</v>
      </c>
    </row>
    <row r="7" spans="1:9">
      <c r="A7" s="255" t="s">
        <v>216</v>
      </c>
      <c r="B7" s="186" t="s">
        <v>24</v>
      </c>
      <c r="C7" s="186" t="s">
        <v>229</v>
      </c>
      <c r="D7" s="187">
        <v>62355</v>
      </c>
      <c r="E7" s="187">
        <v>80189</v>
      </c>
      <c r="F7" s="187">
        <v>97314</v>
      </c>
      <c r="G7" s="204">
        <f t="shared" ref="G7:H20" si="0">E7-D7</f>
        <v>17834</v>
      </c>
      <c r="H7" s="205">
        <f t="shared" si="0"/>
        <v>17125</v>
      </c>
    </row>
    <row r="8" spans="1:9">
      <c r="A8" s="54" t="s">
        <v>243</v>
      </c>
      <c r="B8" s="186" t="s">
        <v>25</v>
      </c>
      <c r="C8" s="186" t="s">
        <v>230</v>
      </c>
      <c r="D8" s="187">
        <v>56040</v>
      </c>
      <c r="E8" s="187">
        <v>67201</v>
      </c>
      <c r="F8" s="187">
        <v>84081</v>
      </c>
      <c r="G8" s="204">
        <f t="shared" si="0"/>
        <v>11161</v>
      </c>
      <c r="H8" s="205">
        <f t="shared" si="0"/>
        <v>16880</v>
      </c>
    </row>
    <row r="9" spans="1:9">
      <c r="A9" s="54" t="s">
        <v>217</v>
      </c>
      <c r="B9" s="186" t="s">
        <v>26</v>
      </c>
      <c r="C9" s="186" t="s">
        <v>231</v>
      </c>
      <c r="D9" s="187">
        <v>0</v>
      </c>
      <c r="E9" s="187">
        <v>0</v>
      </c>
      <c r="F9" s="187">
        <v>0</v>
      </c>
      <c r="G9" s="204">
        <f t="shared" si="0"/>
        <v>0</v>
      </c>
      <c r="H9" s="205">
        <f t="shared" si="0"/>
        <v>0</v>
      </c>
    </row>
    <row r="10" spans="1:9">
      <c r="A10" s="255" t="s">
        <v>218</v>
      </c>
      <c r="B10" s="186" t="s">
        <v>27</v>
      </c>
      <c r="C10" s="186" t="s">
        <v>232</v>
      </c>
      <c r="D10" s="187">
        <v>165144</v>
      </c>
      <c r="E10" s="187">
        <v>198872</v>
      </c>
      <c r="F10" s="187">
        <v>254129</v>
      </c>
      <c r="G10" s="204">
        <f t="shared" si="0"/>
        <v>33728</v>
      </c>
      <c r="H10" s="205">
        <f t="shared" si="0"/>
        <v>55257</v>
      </c>
      <c r="I10">
        <f>G10+H10</f>
        <v>88985</v>
      </c>
    </row>
    <row r="11" spans="1:9">
      <c r="A11" s="54" t="s">
        <v>219</v>
      </c>
      <c r="B11" s="186" t="s">
        <v>28</v>
      </c>
      <c r="C11" s="186" t="s">
        <v>233</v>
      </c>
      <c r="D11" s="187">
        <v>8324</v>
      </c>
      <c r="E11" s="187">
        <v>6582</v>
      </c>
      <c r="F11" s="187">
        <v>11685</v>
      </c>
      <c r="G11" s="204">
        <f t="shared" si="0"/>
        <v>-1742</v>
      </c>
      <c r="H11" s="205">
        <f t="shared" si="0"/>
        <v>5103</v>
      </c>
    </row>
    <row r="12" spans="1:9">
      <c r="A12" s="54" t="s">
        <v>244</v>
      </c>
      <c r="B12" s="186" t="s">
        <v>29</v>
      </c>
      <c r="C12" s="186" t="s">
        <v>234</v>
      </c>
      <c r="D12" s="187">
        <v>9238</v>
      </c>
      <c r="E12" s="187">
        <v>6758</v>
      </c>
      <c r="F12" s="187">
        <v>12174</v>
      </c>
      <c r="G12" s="204">
        <f t="shared" si="0"/>
        <v>-2480</v>
      </c>
      <c r="H12" s="205">
        <f t="shared" si="0"/>
        <v>5416</v>
      </c>
    </row>
    <row r="13" spans="1:9">
      <c r="A13" s="255" t="s">
        <v>220</v>
      </c>
      <c r="B13" s="186" t="s">
        <v>30</v>
      </c>
      <c r="C13" s="186" t="s">
        <v>235</v>
      </c>
      <c r="D13" s="187">
        <v>6697</v>
      </c>
      <c r="E13" s="187">
        <v>3661</v>
      </c>
      <c r="F13" s="187">
        <v>9580</v>
      </c>
      <c r="G13" s="204">
        <f t="shared" si="0"/>
        <v>-3036</v>
      </c>
      <c r="H13" s="205">
        <f t="shared" si="0"/>
        <v>5919</v>
      </c>
    </row>
    <row r="14" spans="1:9" ht="30" customHeight="1">
      <c r="A14" s="54" t="s">
        <v>221</v>
      </c>
      <c r="B14" s="186" t="s">
        <v>31</v>
      </c>
      <c r="C14" s="186" t="s">
        <v>236</v>
      </c>
      <c r="D14" s="187">
        <f>-156820+0+0</f>
        <v>-156820</v>
      </c>
      <c r="E14" s="187">
        <f>-192290+0+0</f>
        <v>-192290</v>
      </c>
      <c r="F14" s="187">
        <f>-242444+0+0</f>
        <v>-242444</v>
      </c>
      <c r="G14" s="204">
        <f t="shared" si="0"/>
        <v>-35470</v>
      </c>
      <c r="H14" s="205">
        <f t="shared" si="0"/>
        <v>-50154</v>
      </c>
    </row>
    <row r="15" spans="1:9" ht="25.5">
      <c r="A15" s="68" t="s">
        <v>223</v>
      </c>
      <c r="B15" s="186" t="s">
        <v>32</v>
      </c>
      <c r="C15" s="186" t="s">
        <v>237</v>
      </c>
      <c r="D15" s="195">
        <f>(D13/D6)*100</f>
        <v>9.5436926409394065</v>
      </c>
      <c r="E15" s="195">
        <f>(E13/E6)*100</f>
        <v>4.1778883461907155</v>
      </c>
      <c r="F15" s="195">
        <f>(F13/F6)*100</f>
        <v>9.2632881772208204</v>
      </c>
      <c r="G15" s="208">
        <f>E15-D15</f>
        <v>-5.365804294748691</v>
      </c>
      <c r="H15" s="209">
        <f t="shared" si="0"/>
        <v>5.085399831030105</v>
      </c>
    </row>
    <row r="16" spans="1:9">
      <c r="A16" s="60" t="s">
        <v>222</v>
      </c>
      <c r="B16" s="186" t="s">
        <v>33</v>
      </c>
      <c r="C16" s="186" t="s">
        <v>238</v>
      </c>
      <c r="D16" s="195">
        <f>(D13/D7)*100</f>
        <v>10.740117071606125</v>
      </c>
      <c r="E16" s="195">
        <f t="shared" ref="E16" si="1">(E13/E7)*100</f>
        <v>4.5654640910848121</v>
      </c>
      <c r="F16" s="195">
        <f>(F13/F7)*100</f>
        <v>9.8444211521466602</v>
      </c>
      <c r="G16" s="208">
        <f t="shared" si="0"/>
        <v>-6.1746529805213131</v>
      </c>
      <c r="H16" s="209">
        <f t="shared" si="0"/>
        <v>5.2789570610618481</v>
      </c>
    </row>
    <row r="17" spans="1:8">
      <c r="A17" s="60" t="s">
        <v>224</v>
      </c>
      <c r="B17" s="186" t="s">
        <v>34</v>
      </c>
      <c r="C17" s="186" t="s">
        <v>239</v>
      </c>
      <c r="D17" s="195">
        <f>(D13/D8)*100</f>
        <v>11.950392576730906</v>
      </c>
      <c r="E17" s="195">
        <f t="shared" ref="E17" si="2">(E13/E8)*100</f>
        <v>5.4478355976845583</v>
      </c>
      <c r="F17" s="195">
        <f>(F13/F8)*100</f>
        <v>11.393775050249165</v>
      </c>
      <c r="G17" s="208">
        <f t="shared" si="0"/>
        <v>-6.5025569790463473</v>
      </c>
      <c r="H17" s="209">
        <f t="shared" si="0"/>
        <v>5.9459394525646063</v>
      </c>
    </row>
    <row r="18" spans="1:8" ht="30">
      <c r="A18" s="60" t="s">
        <v>225</v>
      </c>
      <c r="B18" s="186" t="s">
        <v>35</v>
      </c>
      <c r="C18" s="186" t="s">
        <v>240</v>
      </c>
      <c r="D18" s="195">
        <f>(D12/(D8+D9))*100</f>
        <v>16.484653818700927</v>
      </c>
      <c r="E18" s="195">
        <f>(E12/(E8+E9))*100</f>
        <v>10.0563979702683</v>
      </c>
      <c r="F18" s="195">
        <f t="shared" ref="F18" si="3">(F12/(F8+F9))*100</f>
        <v>14.478895350911621</v>
      </c>
      <c r="G18" s="208">
        <f t="shared" si="0"/>
        <v>-6.4282558484326273</v>
      </c>
      <c r="H18" s="209">
        <f>F18-E18</f>
        <v>4.4224973806433212</v>
      </c>
    </row>
    <row r="19" spans="1:8">
      <c r="A19" s="57" t="s">
        <v>226</v>
      </c>
      <c r="B19" s="186" t="s">
        <v>36</v>
      </c>
      <c r="C19" s="186" t="s">
        <v>241</v>
      </c>
      <c r="D19" s="195">
        <f>(D11/D14)*100</f>
        <v>-5.3079964290269102</v>
      </c>
      <c r="E19" s="195">
        <f t="shared" ref="E19" si="4">(E11/E14)*100</f>
        <v>-3.4229549118518903</v>
      </c>
      <c r="F19" s="195">
        <f>(F11/F14)*100</f>
        <v>-4.8196696969197008</v>
      </c>
      <c r="G19" s="208">
        <f t="shared" si="0"/>
        <v>1.8850415171750199</v>
      </c>
      <c r="H19" s="209">
        <f t="shared" si="0"/>
        <v>-1.3967147850678105</v>
      </c>
    </row>
    <row r="20" spans="1:8" ht="15.75" thickBot="1">
      <c r="A20" s="55" t="s">
        <v>227</v>
      </c>
      <c r="B20" s="32" t="s">
        <v>37</v>
      </c>
      <c r="C20" s="32" t="s">
        <v>242</v>
      </c>
      <c r="D20" s="196">
        <f>(D13/D10)*100</f>
        <v>4.0552487526037888</v>
      </c>
      <c r="E20" s="196">
        <f t="shared" ref="E20:F20" si="5">(E13/E10)*100</f>
        <v>1.8408825777384448</v>
      </c>
      <c r="F20" s="196">
        <f t="shared" si="5"/>
        <v>3.7697389908274932</v>
      </c>
      <c r="G20" s="208">
        <f t="shared" si="0"/>
        <v>-2.214366174865344</v>
      </c>
      <c r="H20" s="209">
        <f t="shared" si="0"/>
        <v>1.9288564130890484</v>
      </c>
    </row>
  </sheetData>
  <mergeCells count="8">
    <mergeCell ref="A1:H1"/>
    <mergeCell ref="A3:A4"/>
    <mergeCell ref="B3:B4"/>
    <mergeCell ref="C3:C4"/>
    <mergeCell ref="D3:D4"/>
    <mergeCell ref="E3:E4"/>
    <mergeCell ref="F3:F4"/>
    <mergeCell ref="G3:H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M41"/>
  <sheetViews>
    <sheetView topLeftCell="A16" workbookViewId="0">
      <selection activeCell="F22" sqref="F22"/>
    </sheetView>
  </sheetViews>
  <sheetFormatPr defaultRowHeight="15"/>
  <cols>
    <col min="1" max="1" width="38" customWidth="1"/>
    <col min="2" max="2" width="8" customWidth="1"/>
    <col min="3" max="3" width="10" customWidth="1"/>
    <col min="4" max="5" width="10.5703125" customWidth="1"/>
    <col min="6" max="7" width="11.5703125" customWidth="1"/>
    <col min="9" max="9" width="31.28515625" customWidth="1"/>
    <col min="10" max="10" width="9.140625" customWidth="1"/>
    <col min="11" max="11" width="8.5703125" customWidth="1"/>
    <col min="12" max="12" width="10.28515625" customWidth="1"/>
    <col min="13" max="13" width="10.42578125" customWidth="1"/>
  </cols>
  <sheetData>
    <row r="1" spans="1:13" ht="18.75">
      <c r="A1" s="383" t="s">
        <v>350</v>
      </c>
      <c r="B1" s="383"/>
      <c r="C1" s="383"/>
      <c r="D1" s="383"/>
      <c r="E1" s="383"/>
      <c r="F1" s="383"/>
      <c r="G1" s="383"/>
    </row>
    <row r="2" spans="1:13" ht="30.75" customHeight="1" thickBot="1">
      <c r="A2" s="367" t="s">
        <v>268</v>
      </c>
      <c r="B2" s="367"/>
      <c r="C2" s="367"/>
      <c r="D2" s="367"/>
      <c r="E2" s="367"/>
      <c r="F2" s="367"/>
      <c r="G2" s="367"/>
    </row>
    <row r="3" spans="1:13" s="4" customFormat="1" ht="15" customHeight="1">
      <c r="A3" s="363" t="s">
        <v>0</v>
      </c>
      <c r="B3" s="368" t="s">
        <v>1</v>
      </c>
      <c r="C3" s="327" t="s">
        <v>245</v>
      </c>
      <c r="D3" s="327"/>
      <c r="E3" s="327"/>
      <c r="F3" s="340" t="s">
        <v>202</v>
      </c>
      <c r="G3" s="341"/>
      <c r="I3" s="384" t="s">
        <v>255</v>
      </c>
      <c r="J3" s="385"/>
      <c r="K3" s="385"/>
      <c r="L3" s="385"/>
      <c r="M3" s="386"/>
    </row>
    <row r="4" spans="1:13" s="4" customFormat="1" ht="30.75" customHeight="1" thickBot="1">
      <c r="A4" s="364"/>
      <c r="B4" s="369"/>
      <c r="C4" s="123">
        <v>2007</v>
      </c>
      <c r="D4" s="123">
        <v>2008</v>
      </c>
      <c r="E4" s="123">
        <v>2009</v>
      </c>
      <c r="F4" s="116" t="s">
        <v>348</v>
      </c>
      <c r="G4" s="139" t="s">
        <v>349</v>
      </c>
      <c r="I4" s="387" t="s">
        <v>256</v>
      </c>
      <c r="J4" s="330" t="s">
        <v>257</v>
      </c>
      <c r="K4" s="330" t="s">
        <v>258</v>
      </c>
      <c r="L4" s="388" t="s">
        <v>259</v>
      </c>
      <c r="M4" s="389"/>
    </row>
    <row r="5" spans="1:13" ht="15.75" customHeight="1" thickBot="1">
      <c r="A5" s="181">
        <v>1</v>
      </c>
      <c r="B5" s="182">
        <v>2</v>
      </c>
      <c r="C5" s="140">
        <v>3</v>
      </c>
      <c r="D5" s="140">
        <v>4</v>
      </c>
      <c r="E5" s="140">
        <v>5</v>
      </c>
      <c r="F5" s="178">
        <v>6</v>
      </c>
      <c r="G5" s="141">
        <v>7</v>
      </c>
      <c r="I5" s="312"/>
      <c r="J5" s="314"/>
      <c r="K5" s="314"/>
      <c r="L5" s="217" t="s">
        <v>101</v>
      </c>
      <c r="M5" s="218" t="s">
        <v>102</v>
      </c>
    </row>
    <row r="6" spans="1:13" ht="25.5">
      <c r="A6" s="35" t="s">
        <v>246</v>
      </c>
      <c r="B6" s="186" t="s">
        <v>23</v>
      </c>
      <c r="C6" s="195">
        <f>C26/C28</f>
        <v>2.3534173174485549</v>
      </c>
      <c r="D6" s="195">
        <f>D26/D28</f>
        <v>2.2695028986168806</v>
      </c>
      <c r="E6" s="195">
        <f t="shared" ref="E6" si="0">E26/E28</f>
        <v>2.4572757423684237</v>
      </c>
      <c r="F6" s="193">
        <f>D6-C6</f>
        <v>-8.3914418831674276E-2</v>
      </c>
      <c r="G6" s="145">
        <f>E6-D6</f>
        <v>0.18777284375154313</v>
      </c>
      <c r="I6" s="60" t="s">
        <v>260</v>
      </c>
      <c r="J6" s="254"/>
      <c r="K6" s="219"/>
      <c r="L6" s="220"/>
      <c r="M6" s="221"/>
    </row>
    <row r="7" spans="1:13" ht="15" customHeight="1">
      <c r="A7" s="60" t="s">
        <v>247</v>
      </c>
      <c r="B7" s="186" t="s">
        <v>24</v>
      </c>
      <c r="C7" s="195">
        <f>C26/C34</f>
        <v>2.9468950749464669</v>
      </c>
      <c r="D7" s="195">
        <f t="shared" ref="D7:E7" si="1">D26/D34</f>
        <v>2.9593607237987531</v>
      </c>
      <c r="E7" s="195">
        <f t="shared" si="1"/>
        <v>3.0224307512993422</v>
      </c>
      <c r="F7" s="193">
        <f t="shared" ref="F7:G15" si="2">D7-C7</f>
        <v>1.2465648852286293E-2</v>
      </c>
      <c r="G7" s="145">
        <f t="shared" si="2"/>
        <v>6.3070027500589099E-2</v>
      </c>
      <c r="I7" s="60" t="s">
        <v>312</v>
      </c>
      <c r="J7" s="74" t="s">
        <v>272</v>
      </c>
      <c r="K7" s="73" t="s">
        <v>178</v>
      </c>
      <c r="L7" s="222">
        <f>F8*D29</f>
        <v>41713.727516950217</v>
      </c>
      <c r="M7" s="223">
        <f>G8*E29</f>
        <v>90919.756822153504</v>
      </c>
    </row>
    <row r="8" spans="1:13">
      <c r="A8" s="60" t="s">
        <v>248</v>
      </c>
      <c r="B8" s="186" t="s">
        <v>25</v>
      </c>
      <c r="C8" s="195">
        <f>C26/C29</f>
        <v>21.126263272355125</v>
      </c>
      <c r="D8" s="195">
        <f t="shared" ref="D8:E8" si="3">D26/D29</f>
        <v>26.733700766232019</v>
      </c>
      <c r="E8" s="195">
        <f t="shared" si="3"/>
        <v>41.626371826371823</v>
      </c>
      <c r="F8" s="193">
        <f t="shared" si="2"/>
        <v>5.6074374938768941</v>
      </c>
      <c r="G8" s="145">
        <f t="shared" si="2"/>
        <v>14.892671060139804</v>
      </c>
      <c r="I8" s="60" t="s">
        <v>261</v>
      </c>
      <c r="J8" s="74" t="s">
        <v>273</v>
      </c>
      <c r="K8" s="73" t="s">
        <v>178</v>
      </c>
      <c r="L8" s="222">
        <f>F10*D31</f>
        <v>-53561.586389240147</v>
      </c>
      <c r="M8" s="224">
        <f>G10*E31</f>
        <v>53.829961645468551</v>
      </c>
    </row>
    <row r="9" spans="1:13" ht="25.5">
      <c r="A9" s="60" t="s">
        <v>249</v>
      </c>
      <c r="B9" s="186" t="s">
        <v>26</v>
      </c>
      <c r="C9" s="195">
        <f>C26/C30</f>
        <v>2.6484484002886699</v>
      </c>
      <c r="D9" s="195">
        <f t="shared" ref="D9:E9" si="4">D26/D30</f>
        <v>2.4800409033657984</v>
      </c>
      <c r="E9" s="195">
        <f t="shared" si="4"/>
        <v>2.6114330928746119</v>
      </c>
      <c r="F9" s="193">
        <f t="shared" si="2"/>
        <v>-0.16840749692287149</v>
      </c>
      <c r="G9" s="145">
        <f t="shared" si="2"/>
        <v>0.13139218950881348</v>
      </c>
      <c r="I9" s="70" t="s">
        <v>262</v>
      </c>
      <c r="J9" s="74" t="s">
        <v>274</v>
      </c>
      <c r="K9" s="73" t="s">
        <v>178</v>
      </c>
      <c r="L9" s="222">
        <f>F14*D36</f>
        <v>8184.1438848920652</v>
      </c>
      <c r="M9" s="224">
        <f>G14*E36</f>
        <v>57735.155763239898</v>
      </c>
    </row>
    <row r="10" spans="1:13">
      <c r="A10" s="70" t="s">
        <v>250</v>
      </c>
      <c r="B10" s="186" t="s">
        <v>27</v>
      </c>
      <c r="C10" s="195">
        <f>C26/C31</f>
        <v>9.4921255316703075</v>
      </c>
      <c r="D10" s="195">
        <f>D26/D31</f>
        <v>7.4780777619011811</v>
      </c>
      <c r="E10" s="195">
        <f t="shared" ref="E10" si="5">E26/E31</f>
        <v>7.4796621144337179</v>
      </c>
      <c r="F10" s="193">
        <f t="shared" si="2"/>
        <v>-2.0140477697691264</v>
      </c>
      <c r="G10" s="145">
        <f t="shared" si="2"/>
        <v>1.584352532536748E-3</v>
      </c>
      <c r="I10" s="68" t="s">
        <v>263</v>
      </c>
      <c r="J10" s="74"/>
      <c r="K10" s="73"/>
      <c r="L10" s="225"/>
      <c r="M10" s="226"/>
    </row>
    <row r="11" spans="1:13" ht="25.5">
      <c r="A11" s="68" t="s">
        <v>251</v>
      </c>
      <c r="B11" s="186" t="s">
        <v>28</v>
      </c>
      <c r="C11" s="195">
        <f>(C31*360)/C26</f>
        <v>37.926173521290508</v>
      </c>
      <c r="D11" s="195">
        <f>(D31*360)/D26</f>
        <v>48.140713624844118</v>
      </c>
      <c r="E11" s="195">
        <f>(E31*360)/E26</f>
        <v>48.130516391281596</v>
      </c>
      <c r="F11" s="193">
        <f t="shared" si="2"/>
        <v>10.21454010355361</v>
      </c>
      <c r="G11" s="145">
        <f t="shared" si="2"/>
        <v>-1.0197233562522001E-2</v>
      </c>
      <c r="I11" s="60" t="s">
        <v>264</v>
      </c>
      <c r="J11" s="74" t="s">
        <v>275</v>
      </c>
      <c r="K11" s="73" t="s">
        <v>271</v>
      </c>
      <c r="L11" s="227">
        <f>D36-C36*D26/C26</f>
        <v>-13.777018844160239</v>
      </c>
      <c r="M11" s="228">
        <f>E36-D36*E26/D26</f>
        <v>-93.190519530150027</v>
      </c>
    </row>
    <row r="12" spans="1:13">
      <c r="A12" s="60" t="s">
        <v>269</v>
      </c>
      <c r="B12" s="186" t="s">
        <v>29</v>
      </c>
      <c r="C12" s="195">
        <f>(C32*360)/C26</f>
        <v>92.794651940124979</v>
      </c>
      <c r="D12" s="195">
        <f>(D32*360)/D26</f>
        <v>84.873486463655013</v>
      </c>
      <c r="E12" s="195">
        <f t="shared" ref="E12" si="6">(E32*360)/E26</f>
        <v>82.4052351364858</v>
      </c>
      <c r="F12" s="193">
        <f t="shared" si="2"/>
        <v>-7.9211654764699659</v>
      </c>
      <c r="G12" s="145">
        <f t="shared" si="2"/>
        <v>-2.468251327169213</v>
      </c>
      <c r="I12" s="60" t="s">
        <v>265</v>
      </c>
      <c r="J12" s="74" t="s">
        <v>276</v>
      </c>
      <c r="K12" s="73" t="s">
        <v>178</v>
      </c>
      <c r="L12" s="227">
        <f>(D36-C36)*D15</f>
        <v>6289.3862928348908</v>
      </c>
      <c r="M12" s="228">
        <f>(E36-D36)*E15</f>
        <v>-799.83596214511044</v>
      </c>
    </row>
    <row r="13" spans="1:13" ht="22.5" customHeight="1">
      <c r="A13" s="70" t="s">
        <v>252</v>
      </c>
      <c r="B13" s="186" t="s">
        <v>30</v>
      </c>
      <c r="C13" s="195">
        <f>(C33*360)/C26</f>
        <v>20.911931405318995</v>
      </c>
      <c r="D13" s="195">
        <f t="shared" ref="D13" si="7">(D33*360)/D26</f>
        <v>36.977151132386659</v>
      </c>
      <c r="E13" s="195">
        <f>(E33*360)/E26</f>
        <v>27.394276135348584</v>
      </c>
      <c r="F13" s="193">
        <f t="shared" si="2"/>
        <v>16.065219727067664</v>
      </c>
      <c r="G13" s="145">
        <f t="shared" si="2"/>
        <v>-9.5828749970380755</v>
      </c>
      <c r="I13" s="60" t="s">
        <v>266</v>
      </c>
      <c r="J13" s="74" t="s">
        <v>277</v>
      </c>
      <c r="K13" s="73" t="s">
        <v>178</v>
      </c>
      <c r="L13" s="227">
        <f>D31-C31*D26/C26</f>
        <v>5642.7389429830946</v>
      </c>
      <c r="M13" s="227">
        <f>E31-D31*E26/D26</f>
        <v>-7.1983688000327675</v>
      </c>
    </row>
    <row r="14" spans="1:13" ht="15" customHeight="1">
      <c r="A14" s="59" t="s">
        <v>253</v>
      </c>
      <c r="B14" s="186" t="s">
        <v>31</v>
      </c>
      <c r="C14" s="195">
        <f>C26/C36</f>
        <v>594.04316546762595</v>
      </c>
      <c r="D14" s="195">
        <f>D26/D36</f>
        <v>619.53894080996884</v>
      </c>
      <c r="E14" s="195">
        <f>E26/E36</f>
        <v>801.66876971608838</v>
      </c>
      <c r="F14" s="193">
        <f t="shared" si="2"/>
        <v>25.495775342342881</v>
      </c>
      <c r="G14" s="145">
        <f t="shared" si="2"/>
        <v>182.12982890611954</v>
      </c>
      <c r="I14" s="70" t="s">
        <v>270</v>
      </c>
      <c r="J14" s="74" t="s">
        <v>278</v>
      </c>
      <c r="K14" s="73" t="s">
        <v>178</v>
      </c>
      <c r="L14" s="227">
        <f>D29-C29*D26/C26</f>
        <v>-1974.4962457007223</v>
      </c>
      <c r="M14" s="227">
        <f>E29-D29*E26/D26</f>
        <v>-3400.9416659962189</v>
      </c>
    </row>
    <row r="15" spans="1:13" ht="26.25" thickBot="1">
      <c r="A15" s="55" t="s">
        <v>254</v>
      </c>
      <c r="B15" s="32" t="s">
        <v>32</v>
      </c>
      <c r="C15" s="196">
        <f>C35/C36</f>
        <v>79.676258992805757</v>
      </c>
      <c r="D15" s="196">
        <f t="shared" ref="D15:E15" si="8">D35/D36</f>
        <v>146.26479750778816</v>
      </c>
      <c r="E15" s="196">
        <f t="shared" si="8"/>
        <v>199.95899053627761</v>
      </c>
      <c r="F15" s="193">
        <f t="shared" si="2"/>
        <v>66.588538514982403</v>
      </c>
      <c r="G15" s="145">
        <f t="shared" si="2"/>
        <v>53.694193028489451</v>
      </c>
      <c r="I15" s="72" t="s">
        <v>267</v>
      </c>
      <c r="J15" s="75" t="s">
        <v>279</v>
      </c>
      <c r="K15" s="6" t="s">
        <v>178</v>
      </c>
      <c r="L15" s="229"/>
      <c r="M15" s="230"/>
    </row>
    <row r="19" spans="1:13" ht="30">
      <c r="A19" s="216" t="s">
        <v>313</v>
      </c>
      <c r="B19" s="231" t="s">
        <v>314</v>
      </c>
      <c r="C19" s="232" t="s">
        <v>315</v>
      </c>
      <c r="D19" s="231" t="s">
        <v>316</v>
      </c>
      <c r="E19" s="376" t="s">
        <v>317</v>
      </c>
      <c r="F19" s="376"/>
      <c r="G19" s="376"/>
      <c r="I19" s="233" t="s">
        <v>318</v>
      </c>
      <c r="J19" s="234"/>
      <c r="K19" s="71"/>
      <c r="L19" s="71"/>
      <c r="M19" s="71"/>
    </row>
    <row r="20" spans="1:13" ht="30" customHeight="1">
      <c r="A20" s="216" t="s">
        <v>319</v>
      </c>
      <c r="B20" s="231" t="s">
        <v>320</v>
      </c>
      <c r="C20" s="377" t="s">
        <v>321</v>
      </c>
      <c r="D20" s="378"/>
      <c r="E20" s="379"/>
      <c r="I20" s="235"/>
      <c r="J20" s="71"/>
      <c r="K20" s="71"/>
      <c r="L20" s="71"/>
      <c r="M20" s="71"/>
    </row>
    <row r="21" spans="1:13">
      <c r="I21" s="235"/>
      <c r="J21" s="71"/>
      <c r="K21" s="71"/>
      <c r="L21" s="71"/>
      <c r="M21" s="71"/>
    </row>
    <row r="22" spans="1:13" ht="15.75" thickBot="1">
      <c r="A22" s="380" t="s">
        <v>322</v>
      </c>
      <c r="B22" s="380"/>
      <c r="C22" s="380"/>
      <c r="D22" s="380"/>
      <c r="E22" s="380"/>
      <c r="I22" s="235"/>
      <c r="J22" s="71"/>
      <c r="K22" s="71"/>
      <c r="L22" s="71"/>
      <c r="M22" s="71"/>
    </row>
    <row r="23" spans="1:13" ht="30.75" customHeight="1">
      <c r="A23" s="363" t="s">
        <v>0</v>
      </c>
      <c r="B23" s="368" t="s">
        <v>1</v>
      </c>
      <c r="C23" s="381" t="s">
        <v>323</v>
      </c>
      <c r="D23" s="381"/>
      <c r="E23" s="382"/>
      <c r="I23" s="235"/>
      <c r="J23" s="71"/>
      <c r="K23" s="71"/>
      <c r="L23" s="71"/>
      <c r="M23" s="71"/>
    </row>
    <row r="24" spans="1:13" ht="15.75" thickBot="1">
      <c r="A24" s="364"/>
      <c r="B24" s="369"/>
      <c r="C24" s="236">
        <v>2007</v>
      </c>
      <c r="D24" s="236">
        <v>2008</v>
      </c>
      <c r="E24" s="237">
        <v>2009</v>
      </c>
      <c r="I24" s="235"/>
      <c r="J24" s="71"/>
      <c r="K24" s="71"/>
      <c r="L24" s="71"/>
      <c r="M24" s="71"/>
    </row>
    <row r="25" spans="1:13" ht="15.75" thickBot="1">
      <c r="A25" s="22">
        <v>1</v>
      </c>
      <c r="B25" s="23">
        <v>2</v>
      </c>
      <c r="C25" s="238">
        <v>3</v>
      </c>
      <c r="D25" s="238">
        <v>4</v>
      </c>
      <c r="E25" s="239">
        <v>5</v>
      </c>
      <c r="I25" s="235"/>
      <c r="J25" s="71"/>
      <c r="K25" s="71"/>
      <c r="L25" s="71"/>
      <c r="M25" s="71"/>
    </row>
    <row r="26" spans="1:13">
      <c r="A26" s="57" t="s">
        <v>324</v>
      </c>
      <c r="B26" s="185" t="s">
        <v>23</v>
      </c>
      <c r="C26" s="179">
        <v>165144</v>
      </c>
      <c r="D26" s="179">
        <v>198872</v>
      </c>
      <c r="E26" s="252">
        <v>254129</v>
      </c>
      <c r="I26" s="235"/>
      <c r="J26" s="71"/>
      <c r="K26" s="71"/>
      <c r="L26" s="71"/>
      <c r="M26" s="71"/>
    </row>
    <row r="27" spans="1:13">
      <c r="A27" s="54" t="s">
        <v>325</v>
      </c>
      <c r="B27" s="186" t="s">
        <v>24</v>
      </c>
      <c r="C27" s="184">
        <v>321964</v>
      </c>
      <c r="D27" s="184">
        <v>391162</v>
      </c>
      <c r="E27" s="247">
        <v>496573</v>
      </c>
      <c r="I27" s="235"/>
      <c r="J27" s="71"/>
      <c r="K27" s="71"/>
      <c r="L27" s="71"/>
      <c r="M27" s="71"/>
    </row>
    <row r="28" spans="1:13">
      <c r="A28" s="54" t="s">
        <v>326</v>
      </c>
      <c r="B28" s="186" t="s">
        <v>25</v>
      </c>
      <c r="C28" s="184">
        <v>70172</v>
      </c>
      <c r="D28" s="184">
        <v>87628</v>
      </c>
      <c r="E28" s="247">
        <v>103419</v>
      </c>
      <c r="I28" s="235"/>
      <c r="J28" s="240"/>
      <c r="K28" s="241"/>
      <c r="L28" s="241"/>
      <c r="M28" s="242"/>
    </row>
    <row r="29" spans="1:13" ht="25.5">
      <c r="A29" s="54" t="s">
        <v>327</v>
      </c>
      <c r="B29" s="186" t="s">
        <v>26</v>
      </c>
      <c r="C29" s="187">
        <v>7817</v>
      </c>
      <c r="D29" s="187">
        <v>7439</v>
      </c>
      <c r="E29" s="246">
        <v>6105</v>
      </c>
      <c r="I29" s="235"/>
      <c r="J29" s="240"/>
      <c r="K29" s="241"/>
      <c r="L29" s="241"/>
      <c r="M29" s="242"/>
    </row>
    <row r="30" spans="1:13">
      <c r="A30" s="54" t="s">
        <v>328</v>
      </c>
      <c r="B30" s="186" t="s">
        <v>27</v>
      </c>
      <c r="C30" s="187">
        <v>62355</v>
      </c>
      <c r="D30" s="187">
        <v>80189</v>
      </c>
      <c r="E30" s="246">
        <v>97314</v>
      </c>
      <c r="I30" s="235"/>
      <c r="J30" s="240"/>
      <c r="K30" s="241"/>
      <c r="L30" s="241"/>
      <c r="M30" s="242"/>
    </row>
    <row r="31" spans="1:13">
      <c r="A31" s="54" t="s">
        <v>329</v>
      </c>
      <c r="B31" s="186" t="s">
        <v>28</v>
      </c>
      <c r="C31" s="187">
        <v>17398</v>
      </c>
      <c r="D31" s="187">
        <v>26594</v>
      </c>
      <c r="E31" s="246">
        <v>33976</v>
      </c>
      <c r="I31" s="235"/>
      <c r="J31" s="240"/>
      <c r="K31" s="241"/>
      <c r="L31" s="241"/>
      <c r="M31" s="242"/>
    </row>
    <row r="32" spans="1:13" ht="25.5">
      <c r="A32" s="54" t="s">
        <v>330</v>
      </c>
      <c r="B32" s="186" t="s">
        <v>29</v>
      </c>
      <c r="C32" s="79">
        <v>42568</v>
      </c>
      <c r="D32" s="79">
        <v>46886</v>
      </c>
      <c r="E32" s="248">
        <v>58171</v>
      </c>
    </row>
    <row r="33" spans="1:5" ht="25.5">
      <c r="A33" s="54" t="s">
        <v>331</v>
      </c>
      <c r="B33" s="186" t="s">
        <v>30</v>
      </c>
      <c r="C33" s="187">
        <v>9593</v>
      </c>
      <c r="D33" s="187">
        <v>20427</v>
      </c>
      <c r="E33" s="246">
        <v>19338</v>
      </c>
    </row>
    <row r="34" spans="1:5">
      <c r="A34" s="54" t="s">
        <v>332</v>
      </c>
      <c r="B34" s="186" t="s">
        <v>31</v>
      </c>
      <c r="C34" s="187">
        <v>56040</v>
      </c>
      <c r="D34" s="187">
        <v>67201</v>
      </c>
      <c r="E34" s="246">
        <v>84081</v>
      </c>
    </row>
    <row r="35" spans="1:5">
      <c r="A35" s="54" t="s">
        <v>333</v>
      </c>
      <c r="B35" s="186" t="s">
        <v>32</v>
      </c>
      <c r="C35" s="187">
        <v>22150</v>
      </c>
      <c r="D35" s="187">
        <v>46951</v>
      </c>
      <c r="E35" s="246">
        <v>63387</v>
      </c>
    </row>
    <row r="36" spans="1:5">
      <c r="A36" s="54" t="s">
        <v>334</v>
      </c>
      <c r="B36" s="186" t="s">
        <v>33</v>
      </c>
      <c r="C36" s="256">
        <v>278</v>
      </c>
      <c r="D36" s="256">
        <v>321</v>
      </c>
      <c r="E36" s="257">
        <v>317</v>
      </c>
    </row>
    <row r="37" spans="1:5" ht="25.5">
      <c r="A37" s="54" t="s">
        <v>335</v>
      </c>
      <c r="B37" s="212" t="s">
        <v>34</v>
      </c>
      <c r="C37" s="112"/>
      <c r="D37" s="112"/>
      <c r="E37" s="243"/>
    </row>
    <row r="38" spans="1:5">
      <c r="A38" s="54" t="s">
        <v>336</v>
      </c>
      <c r="B38" s="212" t="s">
        <v>35</v>
      </c>
      <c r="C38" s="112"/>
      <c r="D38" s="112"/>
      <c r="E38" s="243"/>
    </row>
    <row r="39" spans="1:5" ht="15.75" thickBot="1">
      <c r="A39" s="55" t="s">
        <v>337</v>
      </c>
      <c r="B39" s="215" t="s">
        <v>36</v>
      </c>
      <c r="C39" s="113"/>
      <c r="D39" s="113"/>
      <c r="E39" s="244"/>
    </row>
    <row r="41" spans="1:5" ht="25.5">
      <c r="A41" s="245" t="s">
        <v>338</v>
      </c>
    </row>
  </sheetData>
  <mergeCells count="17">
    <mergeCell ref="A1:G1"/>
    <mergeCell ref="I3:M3"/>
    <mergeCell ref="I4:I5"/>
    <mergeCell ref="J4:J5"/>
    <mergeCell ref="K4:K5"/>
    <mergeCell ref="L4:M4"/>
    <mergeCell ref="B3:B4"/>
    <mergeCell ref="A3:A4"/>
    <mergeCell ref="C3:E3"/>
    <mergeCell ref="F3:G3"/>
    <mergeCell ref="A2:G2"/>
    <mergeCell ref="E19:G19"/>
    <mergeCell ref="C20:E20"/>
    <mergeCell ref="A22:E22"/>
    <mergeCell ref="A23:A24"/>
    <mergeCell ref="B23:B24"/>
    <mergeCell ref="C23:E23"/>
  </mergeCells>
  <pageMargins left="0.7" right="0.7" top="0.75" bottom="0.75" header="0.3" footer="0.3"/>
  <pageSetup paperSize="9" orientation="portrait" horizontalDpi="4294967293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J83"/>
  <sheetViews>
    <sheetView topLeftCell="A10" zoomScale="85" zoomScaleNormal="85" workbookViewId="0">
      <selection activeCell="D23" sqref="D23"/>
    </sheetView>
  </sheetViews>
  <sheetFormatPr defaultRowHeight="15"/>
  <cols>
    <col min="1" max="1" width="57.5703125" customWidth="1"/>
    <col min="2" max="2" width="21.42578125" customWidth="1"/>
    <col min="3" max="3" width="20.28515625" customWidth="1"/>
    <col min="4" max="4" width="18.5703125" customWidth="1"/>
    <col min="5" max="5" width="14.28515625" customWidth="1"/>
    <col min="6" max="6" width="18.42578125" customWidth="1"/>
    <col min="7" max="7" width="30.85546875" customWidth="1"/>
    <col min="8" max="8" width="19.28515625" customWidth="1"/>
    <col min="9" max="9" width="13.85546875" customWidth="1"/>
    <col min="10" max="10" width="22.5703125" customWidth="1"/>
  </cols>
  <sheetData>
    <row r="1" spans="1:10" ht="18.75">
      <c r="A1" s="396" t="s">
        <v>351</v>
      </c>
      <c r="B1" s="396"/>
      <c r="C1" s="396"/>
      <c r="G1" s="383" t="s">
        <v>366</v>
      </c>
      <c r="H1" s="383"/>
      <c r="I1" s="383"/>
      <c r="J1" s="383"/>
    </row>
    <row r="2" spans="1:10" ht="30" customHeight="1">
      <c r="A2" s="397" t="s">
        <v>376</v>
      </c>
      <c r="B2" s="397"/>
      <c r="C2" s="397"/>
      <c r="G2" s="391" t="s">
        <v>377</v>
      </c>
      <c r="H2" s="391"/>
      <c r="I2" s="391"/>
      <c r="J2" s="391"/>
    </row>
    <row r="3" spans="1:10" ht="41.25">
      <c r="A3" s="258" t="s">
        <v>352</v>
      </c>
      <c r="B3" s="261" t="s">
        <v>353</v>
      </c>
      <c r="C3" s="261" t="s">
        <v>367</v>
      </c>
      <c r="E3">
        <v>180</v>
      </c>
      <c r="G3" s="392" t="s">
        <v>358</v>
      </c>
      <c r="H3" s="392" t="s">
        <v>379</v>
      </c>
      <c r="I3" s="393" t="s">
        <v>378</v>
      </c>
      <c r="J3" s="393" t="s">
        <v>367</v>
      </c>
    </row>
    <row r="4" spans="1:10" ht="37.5">
      <c r="A4" s="260" t="s">
        <v>354</v>
      </c>
      <c r="B4" s="258">
        <v>4700</v>
      </c>
      <c r="C4" s="262">
        <f>B4*E3</f>
        <v>846000</v>
      </c>
      <c r="G4" s="392"/>
      <c r="H4" s="392"/>
      <c r="I4" s="394"/>
      <c r="J4" s="394"/>
    </row>
    <row r="5" spans="1:10" ht="18.75">
      <c r="A5" s="260" t="s">
        <v>355</v>
      </c>
      <c r="B5" s="258">
        <v>3800</v>
      </c>
      <c r="C5" s="262">
        <f>B5*E3</f>
        <v>684000</v>
      </c>
      <c r="G5" s="259" t="s">
        <v>359</v>
      </c>
      <c r="H5" s="258">
        <v>110</v>
      </c>
      <c r="I5" s="258">
        <v>3400</v>
      </c>
      <c r="J5" s="268">
        <f>H5*I5</f>
        <v>374000</v>
      </c>
    </row>
    <row r="6" spans="1:10" ht="56.25">
      <c r="A6" s="260" t="s">
        <v>356</v>
      </c>
      <c r="B6" s="258">
        <v>2300</v>
      </c>
      <c r="C6" s="262">
        <f>B6*E3</f>
        <v>414000</v>
      </c>
      <c r="G6" s="259" t="s">
        <v>360</v>
      </c>
      <c r="H6" s="258" t="s">
        <v>280</v>
      </c>
      <c r="I6" s="258" t="s">
        <v>280</v>
      </c>
      <c r="J6" s="268">
        <v>13000</v>
      </c>
    </row>
    <row r="7" spans="1:10" ht="18.75">
      <c r="A7" s="260" t="s">
        <v>357</v>
      </c>
      <c r="B7" s="258"/>
      <c r="C7" s="262">
        <f>C4+C5+C6</f>
        <v>1944000</v>
      </c>
      <c r="G7" s="259" t="s">
        <v>361</v>
      </c>
      <c r="H7" s="258">
        <v>180</v>
      </c>
      <c r="I7" s="258">
        <v>1200</v>
      </c>
      <c r="J7" s="268">
        <f t="shared" ref="J7:J11" si="0">H7*I7</f>
        <v>216000</v>
      </c>
    </row>
    <row r="8" spans="1:10" ht="37.5">
      <c r="G8" s="259" t="s">
        <v>362</v>
      </c>
      <c r="H8" s="258">
        <v>60</v>
      </c>
      <c r="I8" s="258">
        <v>2600</v>
      </c>
      <c r="J8" s="268">
        <f t="shared" si="0"/>
        <v>156000</v>
      </c>
    </row>
    <row r="9" spans="1:10" ht="56.25">
      <c r="D9" s="269">
        <f>C7+J12</f>
        <v>2810000</v>
      </c>
      <c r="G9" s="259" t="s">
        <v>363</v>
      </c>
      <c r="H9" s="258">
        <v>10</v>
      </c>
      <c r="I9" s="258">
        <v>3500</v>
      </c>
      <c r="J9" s="268">
        <f t="shared" si="0"/>
        <v>35000</v>
      </c>
    </row>
    <row r="10" spans="1:10" ht="37.5">
      <c r="G10" s="259" t="s">
        <v>364</v>
      </c>
      <c r="H10" s="258">
        <v>10</v>
      </c>
      <c r="I10" s="258">
        <v>1800</v>
      </c>
      <c r="J10" s="268">
        <f t="shared" si="0"/>
        <v>18000</v>
      </c>
    </row>
    <row r="11" spans="1:10" ht="56.25">
      <c r="G11" s="259" t="s">
        <v>365</v>
      </c>
      <c r="H11" s="258">
        <v>180</v>
      </c>
      <c r="I11" s="258">
        <v>300</v>
      </c>
      <c r="J11" s="268">
        <f t="shared" si="0"/>
        <v>54000</v>
      </c>
    </row>
    <row r="12" spans="1:10" ht="18.75">
      <c r="G12" s="264" t="s">
        <v>357</v>
      </c>
      <c r="H12" s="265"/>
      <c r="I12" s="266"/>
      <c r="J12" s="268">
        <f>SUM(J5:J11)</f>
        <v>866000</v>
      </c>
    </row>
    <row r="13" spans="1:10" ht="18.75">
      <c r="A13" s="395" t="s">
        <v>394</v>
      </c>
      <c r="B13" s="395"/>
    </row>
    <row r="14" spans="1:10" ht="18.75">
      <c r="A14" s="398" t="s">
        <v>375</v>
      </c>
      <c r="B14" s="398"/>
      <c r="G14" s="267"/>
      <c r="H14" s="267"/>
      <c r="I14" s="267"/>
      <c r="J14" s="267"/>
    </row>
    <row r="15" spans="1:10" ht="18.75">
      <c r="A15" s="258" t="s">
        <v>368</v>
      </c>
      <c r="B15" s="258" t="s">
        <v>367</v>
      </c>
    </row>
    <row r="16" spans="1:10" ht="18.75">
      <c r="A16" s="259" t="s">
        <v>369</v>
      </c>
      <c r="B16" s="262">
        <v>8000</v>
      </c>
    </row>
    <row r="17" spans="1:4" ht="37.5">
      <c r="A17" s="259" t="s">
        <v>370</v>
      </c>
      <c r="B17" s="262">
        <v>56000</v>
      </c>
    </row>
    <row r="18" spans="1:4" ht="18.75">
      <c r="A18" s="259" t="s">
        <v>371</v>
      </c>
      <c r="B18" s="262">
        <f>B17*C18/100</f>
        <v>14560</v>
      </c>
      <c r="C18">
        <v>26</v>
      </c>
      <c r="D18" t="s">
        <v>179</v>
      </c>
    </row>
    <row r="19" spans="1:4" ht="18.75">
      <c r="A19" s="259" t="s">
        <v>372</v>
      </c>
      <c r="B19" s="262">
        <v>71034.720000000001</v>
      </c>
    </row>
    <row r="20" spans="1:4" ht="18.75">
      <c r="A20" s="259" t="s">
        <v>427</v>
      </c>
      <c r="B20" s="262">
        <v>143350</v>
      </c>
    </row>
    <row r="21" spans="1:4" ht="18.75">
      <c r="A21" s="259" t="s">
        <v>373</v>
      </c>
      <c r="B21" s="262">
        <v>4000</v>
      </c>
    </row>
    <row r="22" spans="1:4" ht="18.75">
      <c r="A22" s="259" t="s">
        <v>357</v>
      </c>
      <c r="B22" s="262">
        <f>SUM(B16:B21)</f>
        <v>296944.71999999997</v>
      </c>
    </row>
    <row r="28" spans="1:4" ht="18.75">
      <c r="A28" s="395" t="s">
        <v>374</v>
      </c>
      <c r="B28" s="395"/>
      <c r="C28" s="395"/>
      <c r="D28" s="395"/>
    </row>
    <row r="29" spans="1:4" ht="18.75">
      <c r="A29" s="390" t="s">
        <v>389</v>
      </c>
      <c r="B29" s="390"/>
      <c r="C29" s="390"/>
      <c r="D29" s="390"/>
    </row>
    <row r="30" spans="1:4" ht="56.25">
      <c r="A30" s="258" t="s">
        <v>380</v>
      </c>
      <c r="B30" s="258" t="s">
        <v>381</v>
      </c>
      <c r="C30" s="258" t="s">
        <v>382</v>
      </c>
      <c r="D30" s="258" t="s">
        <v>383</v>
      </c>
    </row>
    <row r="31" spans="1:4" ht="18.75">
      <c r="A31" s="259" t="s">
        <v>385</v>
      </c>
      <c r="B31" s="270">
        <v>1</v>
      </c>
      <c r="C31" s="272">
        <v>23000</v>
      </c>
      <c r="D31" s="273">
        <f>C31*12</f>
        <v>276000</v>
      </c>
    </row>
    <row r="32" spans="1:4" ht="18.75">
      <c r="A32" s="259" t="s">
        <v>386</v>
      </c>
      <c r="B32" s="270">
        <v>2</v>
      </c>
      <c r="C32" s="272">
        <v>17000</v>
      </c>
      <c r="D32" s="273">
        <f t="shared" ref="D32:D33" si="1">C32*12</f>
        <v>204000</v>
      </c>
    </row>
    <row r="33" spans="1:6" ht="18.75">
      <c r="A33" s="259" t="s">
        <v>387</v>
      </c>
      <c r="B33" s="270">
        <v>1</v>
      </c>
      <c r="C33" s="272">
        <v>16000</v>
      </c>
      <c r="D33" s="273">
        <f t="shared" si="1"/>
        <v>192000</v>
      </c>
    </row>
    <row r="34" spans="1:6" ht="18.75">
      <c r="A34" s="271" t="s">
        <v>384</v>
      </c>
      <c r="B34" s="270">
        <f>B31+B32+B33</f>
        <v>4</v>
      </c>
      <c r="C34" s="272">
        <f t="shared" ref="C34" si="2">C31+C32+C33</f>
        <v>56000</v>
      </c>
      <c r="D34" s="273">
        <f>D31+D32+D33</f>
        <v>672000</v>
      </c>
    </row>
    <row r="38" spans="1:6" ht="18.75">
      <c r="A38" s="339" t="s">
        <v>388</v>
      </c>
      <c r="B38" s="339"/>
      <c r="C38" s="339"/>
      <c r="D38" s="339"/>
      <c r="E38" s="339"/>
      <c r="F38" s="339"/>
    </row>
    <row r="39" spans="1:6" ht="18.75">
      <c r="A39" s="390" t="s">
        <v>398</v>
      </c>
      <c r="B39" s="390"/>
      <c r="C39" s="390"/>
      <c r="D39" s="390"/>
      <c r="E39" s="390"/>
      <c r="F39" s="390"/>
    </row>
    <row r="40" spans="1:6" ht="75">
      <c r="A40" s="281" t="s">
        <v>372</v>
      </c>
      <c r="B40" s="263" t="s">
        <v>400</v>
      </c>
      <c r="C40" s="263" t="s">
        <v>395</v>
      </c>
      <c r="D40" s="263" t="s">
        <v>396</v>
      </c>
      <c r="E40" s="263" t="s">
        <v>397</v>
      </c>
      <c r="F40" s="263" t="s">
        <v>399</v>
      </c>
    </row>
    <row r="41" spans="1:6" ht="18.75">
      <c r="A41" s="259" t="s">
        <v>390</v>
      </c>
      <c r="B41" s="277">
        <v>16500000</v>
      </c>
      <c r="C41" s="275">
        <v>30</v>
      </c>
      <c r="D41" s="275">
        <f>C41*12</f>
        <v>360</v>
      </c>
      <c r="E41" s="276">
        <f>(1/(D41))*100</f>
        <v>0.27777777777777779</v>
      </c>
      <c r="F41" s="279">
        <f>B41*(E41/100)</f>
        <v>45833.333333333336</v>
      </c>
    </row>
    <row r="42" spans="1:6" ht="18.75">
      <c r="A42" s="259" t="s">
        <v>392</v>
      </c>
      <c r="B42" s="277">
        <f>374000+156000</f>
        <v>530000</v>
      </c>
      <c r="C42" s="275">
        <v>3</v>
      </c>
      <c r="D42" s="275">
        <f>C42*12</f>
        <v>36</v>
      </c>
      <c r="E42" s="276">
        <f t="shared" ref="E42:E44" si="3">(1/(D42))*100</f>
        <v>2.7777777777777777</v>
      </c>
      <c r="F42" s="279">
        <f t="shared" ref="F42:F44" si="4">B42*(E42/100)</f>
        <v>14722.222222222221</v>
      </c>
    </row>
    <row r="43" spans="1:6" ht="18.75">
      <c r="A43" s="259" t="s">
        <v>391</v>
      </c>
      <c r="B43" s="277">
        <f>216000+18000</f>
        <v>234000</v>
      </c>
      <c r="C43" s="275">
        <v>2</v>
      </c>
      <c r="D43" s="275">
        <f>C43*12</f>
        <v>24</v>
      </c>
      <c r="E43" s="276">
        <f t="shared" si="3"/>
        <v>4.1666666666666661</v>
      </c>
      <c r="F43" s="279">
        <f t="shared" si="4"/>
        <v>9749.9999999999982</v>
      </c>
    </row>
    <row r="44" spans="1:6" ht="37.5">
      <c r="A44" s="259" t="s">
        <v>363</v>
      </c>
      <c r="B44" s="277">
        <v>35000</v>
      </c>
      <c r="C44" s="275">
        <v>4</v>
      </c>
      <c r="D44" s="275">
        <f>C44*12</f>
        <v>48</v>
      </c>
      <c r="E44" s="276">
        <f t="shared" si="3"/>
        <v>2.083333333333333</v>
      </c>
      <c r="F44" s="279">
        <f t="shared" si="4"/>
        <v>729.16666666666652</v>
      </c>
    </row>
    <row r="45" spans="1:6" ht="18.75">
      <c r="A45" s="280" t="s">
        <v>393</v>
      </c>
      <c r="B45" s="274"/>
      <c r="C45" s="274"/>
      <c r="D45" s="274"/>
      <c r="E45" s="274"/>
      <c r="F45" s="279">
        <f>F41+F42+F43+F44</f>
        <v>71034.722222222219</v>
      </c>
    </row>
    <row r="49" spans="1:6" ht="18.75">
      <c r="A49" s="339" t="s">
        <v>426</v>
      </c>
      <c r="B49" s="339"/>
      <c r="C49" s="339"/>
    </row>
    <row r="50" spans="1:6" ht="18.75">
      <c r="A50" s="362" t="s">
        <v>425</v>
      </c>
      <c r="B50" s="362"/>
      <c r="C50" s="362"/>
    </row>
    <row r="51" spans="1:6" ht="37.5">
      <c r="A51" s="270" t="s">
        <v>0</v>
      </c>
      <c r="B51" s="270" t="s">
        <v>411</v>
      </c>
      <c r="C51" s="263" t="s">
        <v>412</v>
      </c>
    </row>
    <row r="52" spans="1:6" ht="18.75">
      <c r="A52" s="271" t="s">
        <v>413</v>
      </c>
      <c r="B52" s="270" t="s">
        <v>414</v>
      </c>
      <c r="C52" s="285">
        <v>31122.87</v>
      </c>
      <c r="D52" s="283"/>
    </row>
    <row r="53" spans="1:6" ht="18.75">
      <c r="A53" s="271" t="s">
        <v>415</v>
      </c>
      <c r="B53" s="270" t="s">
        <v>271</v>
      </c>
      <c r="C53" s="270">
        <v>8</v>
      </c>
    </row>
    <row r="54" spans="1:6" ht="18.75">
      <c r="A54" s="271" t="s">
        <v>416</v>
      </c>
      <c r="B54" s="270" t="s">
        <v>414</v>
      </c>
      <c r="C54" s="270">
        <v>9576.9076600000008</v>
      </c>
      <c r="D54" s="284" t="s">
        <v>424</v>
      </c>
      <c r="F54">
        <f>C52*18/100</f>
        <v>5602.1166000000003</v>
      </c>
    </row>
    <row r="55" spans="1:6" ht="18.75">
      <c r="A55" s="271" t="s">
        <v>417</v>
      </c>
      <c r="B55" s="270" t="s">
        <v>179</v>
      </c>
      <c r="C55" s="286">
        <v>0.30769999999999997</v>
      </c>
      <c r="F55" s="282">
        <f>C52-F54</f>
        <v>25520.753399999998</v>
      </c>
    </row>
    <row r="56" spans="1:6" ht="18.75">
      <c r="A56" s="271" t="s">
        <v>418</v>
      </c>
      <c r="B56" s="270" t="s">
        <v>414</v>
      </c>
      <c r="C56" s="285">
        <v>2143.2295300000001</v>
      </c>
    </row>
    <row r="57" spans="1:6" ht="18.75">
      <c r="A57" s="271" t="s">
        <v>417</v>
      </c>
      <c r="B57" s="270" t="s">
        <v>179</v>
      </c>
      <c r="C57" s="286">
        <v>6.8900000000000003E-2</v>
      </c>
    </row>
    <row r="58" spans="1:6" ht="18.75">
      <c r="A58" s="271" t="s">
        <v>419</v>
      </c>
      <c r="B58" s="270" t="s">
        <v>414</v>
      </c>
      <c r="C58" s="270">
        <v>626.52</v>
      </c>
    </row>
    <row r="59" spans="1:6" ht="18.75">
      <c r="A59" s="271" t="s">
        <v>420</v>
      </c>
      <c r="B59" s="270" t="s">
        <v>421</v>
      </c>
      <c r="C59" s="270">
        <v>5221</v>
      </c>
    </row>
    <row r="60" spans="1:6" ht="18.75">
      <c r="A60" s="271" t="s">
        <v>325</v>
      </c>
      <c r="B60" s="270" t="s">
        <v>414</v>
      </c>
      <c r="C60" s="285">
        <v>7527.2781299999997</v>
      </c>
    </row>
    <row r="61" spans="1:6" ht="18.75">
      <c r="A61" s="271" t="s">
        <v>408</v>
      </c>
      <c r="B61" s="270" t="s">
        <v>414</v>
      </c>
      <c r="C61" s="285">
        <v>5720.7313800000002</v>
      </c>
    </row>
    <row r="62" spans="1:6" ht="18.75">
      <c r="A62" s="271" t="s">
        <v>422</v>
      </c>
      <c r="B62" s="270" t="s">
        <v>423</v>
      </c>
      <c r="C62" s="286">
        <v>0.18379999999999999</v>
      </c>
    </row>
    <row r="63" spans="1:6">
      <c r="A63" s="287"/>
    </row>
    <row r="67" spans="1:4">
      <c r="B67" s="278"/>
    </row>
    <row r="75" spans="1:4" ht="37.5">
      <c r="A75" s="263" t="s">
        <v>401</v>
      </c>
      <c r="B75" s="263" t="s">
        <v>409</v>
      </c>
      <c r="C75" s="263" t="s">
        <v>410</v>
      </c>
    </row>
    <row r="76" spans="1:4" ht="18.75">
      <c r="A76" s="259" t="s">
        <v>402</v>
      </c>
      <c r="B76" s="263">
        <v>307500</v>
      </c>
      <c r="C76" s="263">
        <f t="shared" ref="C76:C83" si="5">B76*12</f>
        <v>3690000</v>
      </c>
      <c r="D76">
        <v>59355965</v>
      </c>
    </row>
    <row r="77" spans="1:4" ht="37.5">
      <c r="A77" s="259" t="s">
        <v>403</v>
      </c>
      <c r="B77" s="263">
        <v>62924</v>
      </c>
      <c r="C77" s="263">
        <f t="shared" si="5"/>
        <v>755088</v>
      </c>
    </row>
    <row r="78" spans="1:4" ht="37.5">
      <c r="A78" s="259" t="s">
        <v>404</v>
      </c>
      <c r="B78" s="263">
        <v>85996</v>
      </c>
      <c r="C78" s="263">
        <f t="shared" si="5"/>
        <v>1031952</v>
      </c>
    </row>
    <row r="79" spans="1:4" ht="18.75">
      <c r="A79" s="259" t="s">
        <v>325</v>
      </c>
      <c r="B79" s="263">
        <v>135500</v>
      </c>
      <c r="C79" s="263">
        <f t="shared" si="5"/>
        <v>1626000</v>
      </c>
    </row>
    <row r="80" spans="1:4" ht="18.75">
      <c r="A80" s="259" t="s">
        <v>405</v>
      </c>
      <c r="B80" s="263">
        <v>83337.8</v>
      </c>
      <c r="C80" s="263">
        <f t="shared" si="5"/>
        <v>1000053.6000000001</v>
      </c>
    </row>
    <row r="81" spans="1:3" ht="18.75">
      <c r="A81" s="259" t="s">
        <v>406</v>
      </c>
      <c r="B81" s="263">
        <v>52162.2</v>
      </c>
      <c r="C81" s="263">
        <f t="shared" si="5"/>
        <v>625946.39999999991</v>
      </c>
    </row>
    <row r="82" spans="1:3" ht="37.5">
      <c r="A82" s="259" t="s">
        <v>407</v>
      </c>
      <c r="B82" s="263">
        <v>12915.4</v>
      </c>
      <c r="C82" s="263">
        <f t="shared" si="5"/>
        <v>154984.79999999999</v>
      </c>
    </row>
    <row r="83" spans="1:3" ht="18.75">
      <c r="A83" s="259" t="s">
        <v>408</v>
      </c>
      <c r="B83" s="263">
        <v>39246.800000000003</v>
      </c>
      <c r="C83" s="263">
        <f t="shared" si="5"/>
        <v>470961.60000000003</v>
      </c>
    </row>
  </sheetData>
  <mergeCells count="16">
    <mergeCell ref="A39:F39"/>
    <mergeCell ref="A38:F38"/>
    <mergeCell ref="A50:C50"/>
    <mergeCell ref="A49:C49"/>
    <mergeCell ref="G1:J1"/>
    <mergeCell ref="G2:J2"/>
    <mergeCell ref="G3:G4"/>
    <mergeCell ref="H3:H4"/>
    <mergeCell ref="I3:I4"/>
    <mergeCell ref="J3:J4"/>
    <mergeCell ref="A28:D28"/>
    <mergeCell ref="A29:D29"/>
    <mergeCell ref="A1:C1"/>
    <mergeCell ref="A2:C2"/>
    <mergeCell ref="A14:B14"/>
    <mergeCell ref="A13:B13"/>
  </mergeCells>
  <pageMargins left="0.7" right="0.7" top="0.75" bottom="0.75" header="0.3" footer="0.3"/>
  <pageSetup paperSize="9" orientation="portrait" horizontalDpi="4294967293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D38"/>
  <sheetViews>
    <sheetView zoomScale="70" zoomScaleNormal="70" workbookViewId="0">
      <selection activeCell="F4" sqref="F4"/>
    </sheetView>
  </sheetViews>
  <sheetFormatPr defaultRowHeight="15"/>
  <cols>
    <col min="1" max="1" width="32.28515625" customWidth="1"/>
    <col min="2" max="4" width="19" customWidth="1"/>
  </cols>
  <sheetData>
    <row r="1" spans="1:4">
      <c r="A1" s="278">
        <f>B24/B6*100</f>
        <v>46.67189481899586</v>
      </c>
    </row>
    <row r="2" spans="1:4" ht="18.75">
      <c r="A2" s="399" t="s">
        <v>426</v>
      </c>
      <c r="B2" s="399"/>
      <c r="C2" s="399"/>
      <c r="D2" s="399"/>
    </row>
    <row r="3" spans="1:4" ht="38.25" customHeight="1">
      <c r="A3" s="400" t="s">
        <v>428</v>
      </c>
      <c r="B3" s="400"/>
      <c r="C3" s="400"/>
      <c r="D3" s="400"/>
    </row>
    <row r="4" spans="1:4" ht="18.75">
      <c r="A4" s="401" t="s">
        <v>429</v>
      </c>
      <c r="B4" s="401" t="s">
        <v>367</v>
      </c>
      <c r="C4" s="401"/>
      <c r="D4" s="401"/>
    </row>
    <row r="5" spans="1:4" ht="18.75">
      <c r="A5" s="401"/>
      <c r="B5" s="270" t="s">
        <v>430</v>
      </c>
      <c r="C5" s="270" t="s">
        <v>431</v>
      </c>
      <c r="D5" s="270" t="s">
        <v>432</v>
      </c>
    </row>
    <row r="6" spans="1:4" ht="37.5">
      <c r="A6" s="288" t="s">
        <v>433</v>
      </c>
      <c r="B6" s="289">
        <v>59355965</v>
      </c>
      <c r="C6" s="289">
        <v>71761565</v>
      </c>
      <c r="D6" s="289">
        <v>87411687</v>
      </c>
    </row>
    <row r="7" spans="1:4" ht="37.5">
      <c r="A7" s="288" t="s">
        <v>434</v>
      </c>
      <c r="B7" s="289">
        <f>SUM(B9:B16)</f>
        <v>22777336.640000001</v>
      </c>
      <c r="C7" s="289">
        <f>SUM(C9:C16)</f>
        <v>3553346.64</v>
      </c>
      <c r="D7" s="289">
        <f>SUM(D9:D16)</f>
        <v>3643656.64</v>
      </c>
    </row>
    <row r="8" spans="1:4" ht="18.75">
      <c r="A8" s="288" t="s">
        <v>435</v>
      </c>
      <c r="B8" s="289">
        <v>8000</v>
      </c>
      <c r="C8" s="289">
        <v>8000</v>
      </c>
      <c r="D8" s="289">
        <v>8000</v>
      </c>
    </row>
    <row r="9" spans="1:4" ht="18.75">
      <c r="A9" s="288" t="s">
        <v>436</v>
      </c>
      <c r="B9" s="289">
        <f>56000*12</f>
        <v>672000</v>
      </c>
      <c r="C9" s="289">
        <f t="shared" ref="C9:D9" si="0">56000*12</f>
        <v>672000</v>
      </c>
      <c r="D9" s="289">
        <f t="shared" si="0"/>
        <v>672000</v>
      </c>
    </row>
    <row r="10" spans="1:4" ht="37.5">
      <c r="A10" s="288" t="s">
        <v>437</v>
      </c>
      <c r="B10" s="289">
        <f>14560*12</f>
        <v>174720</v>
      </c>
      <c r="C10" s="289">
        <f t="shared" ref="C10:D10" si="1">14560*12</f>
        <v>174720</v>
      </c>
      <c r="D10" s="289">
        <f t="shared" si="1"/>
        <v>174720</v>
      </c>
    </row>
    <row r="11" spans="1:4" ht="37.5">
      <c r="A11" s="288" t="s">
        <v>438</v>
      </c>
      <c r="B11" s="289">
        <f>71034.72*12</f>
        <v>852416.64</v>
      </c>
      <c r="C11" s="289">
        <f t="shared" ref="C11:D11" si="2">71034.72*12</f>
        <v>852416.64</v>
      </c>
      <c r="D11" s="289">
        <f t="shared" si="2"/>
        <v>852416.64</v>
      </c>
    </row>
    <row r="12" spans="1:4" ht="18.75">
      <c r="A12" s="288" t="s">
        <v>439</v>
      </c>
      <c r="B12" s="289">
        <f>4000*12</f>
        <v>48000</v>
      </c>
      <c r="C12" s="289">
        <f t="shared" ref="C12:D12" si="3">4000*12</f>
        <v>48000</v>
      </c>
      <c r="D12" s="289">
        <f t="shared" si="3"/>
        <v>48000</v>
      </c>
    </row>
    <row r="13" spans="1:4" ht="18.75">
      <c r="A13" s="288" t="s">
        <v>440</v>
      </c>
      <c r="B13" s="289">
        <v>1720200</v>
      </c>
      <c r="C13" s="289">
        <v>1806210</v>
      </c>
      <c r="D13" s="289">
        <v>1896520</v>
      </c>
    </row>
    <row r="14" spans="1:4" ht="37.5">
      <c r="A14" s="288" t="s">
        <v>441</v>
      </c>
      <c r="B14" s="289">
        <v>1944000</v>
      </c>
      <c r="C14" s="290">
        <v>0</v>
      </c>
      <c r="D14" s="290">
        <v>0</v>
      </c>
    </row>
    <row r="15" spans="1:4" ht="56.25">
      <c r="A15" s="288" t="s">
        <v>442</v>
      </c>
      <c r="B15" s="289">
        <v>866000</v>
      </c>
      <c r="C15" s="290">
        <v>0</v>
      </c>
      <c r="D15" s="290">
        <v>0</v>
      </c>
    </row>
    <row r="16" spans="1:4" ht="18.75">
      <c r="A16" s="288" t="s">
        <v>443</v>
      </c>
      <c r="B16" s="289">
        <v>16500000</v>
      </c>
      <c r="C16" s="290">
        <v>0</v>
      </c>
      <c r="D16" s="290">
        <v>0</v>
      </c>
    </row>
    <row r="17" spans="1:4" ht="18.75">
      <c r="A17" s="288" t="s">
        <v>444</v>
      </c>
      <c r="B17" s="289">
        <f>B6-B7</f>
        <v>36578628.359999999</v>
      </c>
      <c r="C17" s="289">
        <f>C6-C7</f>
        <v>68208218.359999999</v>
      </c>
      <c r="D17" s="289">
        <f>D6-D7</f>
        <v>83768030.359999999</v>
      </c>
    </row>
    <row r="18" spans="1:4" ht="37.5">
      <c r="A18" s="288" t="s">
        <v>445</v>
      </c>
      <c r="B18" s="290">
        <v>0</v>
      </c>
      <c r="C18" s="290">
        <v>0</v>
      </c>
      <c r="D18" s="290">
        <v>0</v>
      </c>
    </row>
    <row r="19" spans="1:4" ht="37.5">
      <c r="A19" s="288" t="s">
        <v>446</v>
      </c>
      <c r="B19" s="289">
        <f>-B20-B21</f>
        <v>-127900</v>
      </c>
      <c r="C19" s="289">
        <f t="shared" ref="C19:D19" si="4">-C20-C21</f>
        <v>-156300</v>
      </c>
      <c r="D19" s="289">
        <f t="shared" si="4"/>
        <v>-96000</v>
      </c>
    </row>
    <row r="20" spans="1:4" ht="37.5">
      <c r="A20" s="288" t="s">
        <v>447</v>
      </c>
      <c r="B20" s="290">
        <v>0</v>
      </c>
      <c r="C20" s="290">
        <v>0</v>
      </c>
      <c r="D20" s="290">
        <v>0</v>
      </c>
    </row>
    <row r="21" spans="1:4" ht="37.5">
      <c r="A21" s="288" t="s">
        <v>448</v>
      </c>
      <c r="B21" s="289">
        <v>127900</v>
      </c>
      <c r="C21" s="289">
        <v>156300</v>
      </c>
      <c r="D21" s="289">
        <v>96000</v>
      </c>
    </row>
    <row r="22" spans="1:4" ht="37.5">
      <c r="A22" s="288" t="s">
        <v>449</v>
      </c>
      <c r="B22" s="289">
        <f>B17+B19+B18</f>
        <v>36450728.359999999</v>
      </c>
      <c r="C22" s="289">
        <f t="shared" ref="C22:D22" si="5">C17+C19+C18</f>
        <v>68051918.359999999</v>
      </c>
      <c r="D22" s="289">
        <f t="shared" si="5"/>
        <v>83672030.359999999</v>
      </c>
    </row>
    <row r="23" spans="1:4" ht="18.75">
      <c r="A23" s="288" t="s">
        <v>450</v>
      </c>
      <c r="B23" s="289">
        <f>B22*24/100</f>
        <v>8748174.8063999992</v>
      </c>
      <c r="C23" s="289">
        <f>C22*24/100</f>
        <v>16332460.406399999</v>
      </c>
      <c r="D23" s="289">
        <f t="shared" ref="D23" si="6">D22*24/100</f>
        <v>20081287.286399998</v>
      </c>
    </row>
    <row r="24" spans="1:4" ht="37.5">
      <c r="A24" s="288" t="s">
        <v>451</v>
      </c>
      <c r="B24" s="289">
        <f>B22-B23</f>
        <v>27702553.553599998</v>
      </c>
      <c r="C24" s="289">
        <f t="shared" ref="C24:D24" si="7">C22-C23</f>
        <v>51719457.953600004</v>
      </c>
      <c r="D24" s="289">
        <f t="shared" si="7"/>
        <v>63590743.073600002</v>
      </c>
    </row>
    <row r="25" spans="1:4">
      <c r="A25" t="s">
        <v>452</v>
      </c>
      <c r="B25" s="291">
        <f>B24/B7*100</f>
        <v>121.62332230253237</v>
      </c>
      <c r="C25" s="291">
        <f>C24/C7*100</f>
        <v>1455.5140039363005</v>
      </c>
      <c r="D25" s="291">
        <f>D24/D7*100</f>
        <v>1745.2452126114715</v>
      </c>
    </row>
    <row r="26" spans="1:4" ht="18.75">
      <c r="A26" s="292" t="s">
        <v>453</v>
      </c>
      <c r="B26" s="278">
        <f>(B16+B14+B15)/(B6-B7)</f>
        <v>0.52790388447468839</v>
      </c>
    </row>
    <row r="32" spans="1:4">
      <c r="C32" t="s">
        <v>455</v>
      </c>
    </row>
    <row r="33" spans="2:3">
      <c r="B33">
        <v>1</v>
      </c>
      <c r="C33">
        <v>12</v>
      </c>
    </row>
    <row r="34" spans="2:3">
      <c r="B34">
        <v>0.53</v>
      </c>
      <c r="C34">
        <f>B34*C33/B33</f>
        <v>6.36</v>
      </c>
    </row>
    <row r="35" spans="2:3">
      <c r="B35" s="402" t="s">
        <v>456</v>
      </c>
      <c r="C35" s="402"/>
    </row>
    <row r="36" spans="2:3">
      <c r="C36" t="s">
        <v>454</v>
      </c>
    </row>
    <row r="37" spans="2:3">
      <c r="B37">
        <v>1</v>
      </c>
      <c r="C37">
        <v>30</v>
      </c>
    </row>
    <row r="38" spans="2:3">
      <c r="B38">
        <v>0.36</v>
      </c>
      <c r="C38">
        <f>B38*C37/B37</f>
        <v>10.799999999999999</v>
      </c>
    </row>
  </sheetData>
  <mergeCells count="5">
    <mergeCell ref="A2:D2"/>
    <mergeCell ref="A3:D3"/>
    <mergeCell ref="A4:A5"/>
    <mergeCell ref="B4:D4"/>
    <mergeCell ref="B35:C35"/>
  </mergeCells>
  <pageMargins left="0.7" right="0.7" top="0.75" bottom="0.75" header="0.3" footer="0.3"/>
  <pageSetup paperSize="9" orientation="portrait" horizontalDpi="4294967293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2:D3"/>
  <sheetViews>
    <sheetView zoomScaleNormal="100" workbookViewId="0">
      <selection activeCell="H16" sqref="H16"/>
    </sheetView>
  </sheetViews>
  <sheetFormatPr defaultRowHeight="15"/>
  <cols>
    <col min="1" max="1" width="26.42578125" customWidth="1"/>
    <col min="2" max="4" width="20.42578125" bestFit="1" customWidth="1"/>
    <col min="9" max="9" width="19.28515625" customWidth="1"/>
    <col min="10" max="10" width="16.85546875" customWidth="1"/>
  </cols>
  <sheetData>
    <row r="2" spans="1:4">
      <c r="B2" t="s">
        <v>458</v>
      </c>
      <c r="C2" t="s">
        <v>459</v>
      </c>
      <c r="D2" t="s">
        <v>459</v>
      </c>
    </row>
    <row r="3" spans="1:4" ht="37.5">
      <c r="A3" s="288" t="s">
        <v>457</v>
      </c>
      <c r="B3" s="293">
        <v>59355965</v>
      </c>
      <c r="C3" s="293">
        <v>71761565</v>
      </c>
      <c r="D3" s="293">
        <v>87411687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7"/>
  <sheetViews>
    <sheetView topLeftCell="A16" workbookViewId="0">
      <selection sqref="A1:M1"/>
    </sheetView>
  </sheetViews>
  <sheetFormatPr defaultRowHeight="15"/>
  <cols>
    <col min="1" max="1" width="35.5703125" customWidth="1"/>
    <col min="2" max="2" width="8.28515625" customWidth="1"/>
    <col min="3" max="3" width="11.7109375" customWidth="1"/>
    <col min="4" max="13" width="9.140625" style="4"/>
  </cols>
  <sheetData>
    <row r="1" spans="1:13" ht="33.75" customHeight="1">
      <c r="A1" s="316" t="s">
        <v>59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</row>
    <row r="2" spans="1:13" ht="15.75" thickBot="1">
      <c r="A2" s="5"/>
      <c r="B2" s="5"/>
      <c r="C2" s="5"/>
      <c r="D2" s="130"/>
      <c r="E2" s="130"/>
      <c r="F2" s="130"/>
      <c r="G2" s="130"/>
      <c r="H2" s="130"/>
      <c r="I2" s="130"/>
      <c r="J2" s="130"/>
      <c r="K2" s="130"/>
      <c r="L2" s="130"/>
      <c r="M2" s="130"/>
    </row>
    <row r="3" spans="1:13" ht="32.25" customHeight="1">
      <c r="A3" s="311" t="s">
        <v>0</v>
      </c>
      <c r="B3" s="313" t="s">
        <v>1</v>
      </c>
      <c r="C3" s="313" t="s">
        <v>2</v>
      </c>
      <c r="D3" s="327" t="s">
        <v>3</v>
      </c>
      <c r="E3" s="327"/>
      <c r="F3" s="327"/>
      <c r="G3" s="319" t="s">
        <v>4</v>
      </c>
      <c r="H3" s="320"/>
      <c r="I3" s="294" t="s">
        <v>5</v>
      </c>
      <c r="J3" s="295"/>
      <c r="K3" s="321" t="s">
        <v>6</v>
      </c>
      <c r="L3" s="322"/>
      <c r="M3" s="323"/>
    </row>
    <row r="4" spans="1:13" ht="36.75" customHeight="1" thickBot="1">
      <c r="A4" s="312"/>
      <c r="B4" s="314"/>
      <c r="C4" s="314"/>
      <c r="D4" s="117">
        <v>2007</v>
      </c>
      <c r="E4" s="117">
        <v>2008</v>
      </c>
      <c r="F4" s="117">
        <v>2009</v>
      </c>
      <c r="G4" s="81" t="s">
        <v>101</v>
      </c>
      <c r="H4" s="81" t="s">
        <v>102</v>
      </c>
      <c r="I4" s="85" t="s">
        <v>101</v>
      </c>
      <c r="J4" s="85" t="s">
        <v>102</v>
      </c>
      <c r="K4" s="97">
        <v>2007</v>
      </c>
      <c r="L4" s="98">
        <v>2008</v>
      </c>
      <c r="M4" s="99">
        <v>2009</v>
      </c>
    </row>
    <row r="5" spans="1:13" ht="15.75" thickBot="1">
      <c r="A5" s="22">
        <v>1</v>
      </c>
      <c r="B5" s="23">
        <v>2</v>
      </c>
      <c r="C5" s="23">
        <v>3</v>
      </c>
      <c r="D5" s="118">
        <v>4</v>
      </c>
      <c r="E5" s="118">
        <v>5</v>
      </c>
      <c r="F5" s="118">
        <v>6</v>
      </c>
      <c r="G5" s="114">
        <v>7</v>
      </c>
      <c r="H5" s="114">
        <v>8</v>
      </c>
      <c r="I5" s="111">
        <v>9</v>
      </c>
      <c r="J5" s="111">
        <v>10</v>
      </c>
      <c r="K5" s="110">
        <v>11</v>
      </c>
      <c r="L5" s="110">
        <v>12</v>
      </c>
      <c r="M5" s="129">
        <v>13</v>
      </c>
    </row>
    <row r="6" spans="1:13" ht="28.5">
      <c r="A6" s="9" t="s">
        <v>38</v>
      </c>
      <c r="B6" s="24" t="s">
        <v>23</v>
      </c>
      <c r="C6" s="69">
        <v>190</v>
      </c>
      <c r="D6" s="119">
        <v>7817</v>
      </c>
      <c r="E6" s="119">
        <v>7439</v>
      </c>
      <c r="F6" s="119">
        <v>6105</v>
      </c>
      <c r="G6" s="83">
        <f>E6-D6</f>
        <v>-378</v>
      </c>
      <c r="H6" s="83">
        <f>F6-E6</f>
        <v>-1334</v>
      </c>
      <c r="I6" s="93">
        <f>G6/D6*100</f>
        <v>-4.8356146859408975</v>
      </c>
      <c r="J6" s="93">
        <f>H6/E6*100</f>
        <v>-17.932517811533806</v>
      </c>
      <c r="K6" s="103">
        <v>100</v>
      </c>
      <c r="L6" s="104">
        <v>100</v>
      </c>
      <c r="M6" s="105">
        <v>100</v>
      </c>
    </row>
    <row r="7" spans="1:13">
      <c r="A7" s="11" t="s">
        <v>10</v>
      </c>
      <c r="B7" s="66" t="s">
        <v>24</v>
      </c>
      <c r="C7" s="67">
        <v>110</v>
      </c>
      <c r="D7" s="120">
        <v>0</v>
      </c>
      <c r="E7" s="120">
        <v>0</v>
      </c>
      <c r="F7" s="120">
        <v>0</v>
      </c>
      <c r="G7" s="84">
        <f>E7-D7</f>
        <v>0</v>
      </c>
      <c r="H7" s="84">
        <f>F7-E7</f>
        <v>0</v>
      </c>
      <c r="I7" s="94" t="e">
        <f>G7/D7*100</f>
        <v>#DIV/0!</v>
      </c>
      <c r="J7" s="94" t="e">
        <f>H7/E7*100</f>
        <v>#DIV/0!</v>
      </c>
      <c r="K7" s="106">
        <f>(D7/D$6)*K$6</f>
        <v>0</v>
      </c>
      <c r="L7" s="106">
        <f>(E7/E$6)*L$6</f>
        <v>0</v>
      </c>
      <c r="M7" s="107">
        <f>(F7/F$6)*M$6</f>
        <v>0</v>
      </c>
    </row>
    <row r="8" spans="1:13">
      <c r="A8" s="11" t="s">
        <v>46</v>
      </c>
      <c r="B8" s="328" t="s">
        <v>25</v>
      </c>
      <c r="C8" s="330">
        <v>111</v>
      </c>
      <c r="D8" s="325">
        <v>0</v>
      </c>
      <c r="E8" s="325">
        <v>0</v>
      </c>
      <c r="F8" s="325">
        <v>0</v>
      </c>
      <c r="G8" s="304">
        <f t="shared" ref="G8:G12" si="0">E8-D8</f>
        <v>0</v>
      </c>
      <c r="H8" s="304">
        <f>F8-E8</f>
        <v>0</v>
      </c>
      <c r="I8" s="306" t="e">
        <f>G8/D8*100</f>
        <v>#DIV/0!</v>
      </c>
      <c r="J8" s="306" t="e">
        <f t="shared" ref="J8:J12" si="1">H8/E8*100</f>
        <v>#DIV/0!</v>
      </c>
      <c r="K8" s="317">
        <f>(D8/D6)*K6</f>
        <v>0</v>
      </c>
      <c r="L8" s="317">
        <f>(E8/E6)*L6</f>
        <v>0</v>
      </c>
      <c r="M8" s="296">
        <f>(F8/F6)*M6</f>
        <v>0</v>
      </c>
    </row>
    <row r="9" spans="1:13" ht="30">
      <c r="A9" s="27" t="s">
        <v>40</v>
      </c>
      <c r="B9" s="329"/>
      <c r="C9" s="331"/>
      <c r="D9" s="326"/>
      <c r="E9" s="326"/>
      <c r="F9" s="326"/>
      <c r="G9" s="305"/>
      <c r="H9" s="305"/>
      <c r="I9" s="307"/>
      <c r="J9" s="307"/>
      <c r="K9" s="318"/>
      <c r="L9" s="318"/>
      <c r="M9" s="297"/>
    </row>
    <row r="10" spans="1:13">
      <c r="A10" s="27" t="s">
        <v>41</v>
      </c>
      <c r="B10" s="66" t="s">
        <v>26</v>
      </c>
      <c r="C10" s="67">
        <v>112</v>
      </c>
      <c r="D10" s="120">
        <v>0</v>
      </c>
      <c r="E10" s="120">
        <v>0</v>
      </c>
      <c r="F10" s="120">
        <v>0</v>
      </c>
      <c r="G10" s="84">
        <f t="shared" si="0"/>
        <v>0</v>
      </c>
      <c r="H10" s="84">
        <f t="shared" ref="H10:H12" si="2">F10-E10</f>
        <v>0</v>
      </c>
      <c r="I10" s="94" t="e">
        <f t="shared" ref="I10:I12" si="3">G10/D10*100</f>
        <v>#DIV/0!</v>
      </c>
      <c r="J10" s="94" t="e">
        <f t="shared" si="1"/>
        <v>#DIV/0!</v>
      </c>
      <c r="K10" s="106">
        <f>(D10/$D6)*$K6</f>
        <v>0</v>
      </c>
      <c r="L10" s="106">
        <f>(E10/$E6)*$L6</f>
        <v>0</v>
      </c>
      <c r="M10" s="107">
        <f>(F10/$F6)*$M6</f>
        <v>0</v>
      </c>
    </row>
    <row r="11" spans="1:13">
      <c r="A11" s="28" t="s">
        <v>42</v>
      </c>
      <c r="B11" s="66" t="s">
        <v>27</v>
      </c>
      <c r="C11" s="29">
        <v>113</v>
      </c>
      <c r="D11" s="120">
        <v>0</v>
      </c>
      <c r="E11" s="120">
        <v>0</v>
      </c>
      <c r="F11" s="120">
        <v>0</v>
      </c>
      <c r="G11" s="84">
        <f t="shared" si="0"/>
        <v>0</v>
      </c>
      <c r="H11" s="84">
        <f t="shared" si="2"/>
        <v>0</v>
      </c>
      <c r="I11" s="94" t="e">
        <f t="shared" si="3"/>
        <v>#DIV/0!</v>
      </c>
      <c r="J11" s="94" t="e">
        <f t="shared" si="1"/>
        <v>#DIV/0!</v>
      </c>
      <c r="K11" s="106">
        <f>(D11/$D6)*$K6</f>
        <v>0</v>
      </c>
      <c r="L11" s="106">
        <f>(E11/E$6)*L$6</f>
        <v>0</v>
      </c>
      <c r="M11" s="107">
        <f>(F11/$F6)*$M6</f>
        <v>0</v>
      </c>
    </row>
    <row r="12" spans="1:13">
      <c r="A12" s="14" t="s">
        <v>11</v>
      </c>
      <c r="B12" s="66" t="s">
        <v>28</v>
      </c>
      <c r="C12" s="67">
        <v>120</v>
      </c>
      <c r="D12" s="120">
        <v>7817</v>
      </c>
      <c r="E12" s="120">
        <v>7439</v>
      </c>
      <c r="F12" s="120">
        <v>6105</v>
      </c>
      <c r="G12" s="84">
        <f t="shared" si="0"/>
        <v>-378</v>
      </c>
      <c r="H12" s="84">
        <f t="shared" si="2"/>
        <v>-1334</v>
      </c>
      <c r="I12" s="94">
        <f t="shared" si="3"/>
        <v>-4.8356146859408975</v>
      </c>
      <c r="J12" s="94">
        <f t="shared" si="1"/>
        <v>-17.932517811533806</v>
      </c>
      <c r="K12" s="106">
        <f>(D12/D$6)*K$6</f>
        <v>100</v>
      </c>
      <c r="L12" s="106">
        <f>(E12/E$6)*L$6</f>
        <v>100</v>
      </c>
      <c r="M12" s="107">
        <f>(F12/F$6)*M$6</f>
        <v>100</v>
      </c>
    </row>
    <row r="13" spans="1:13">
      <c r="A13" s="11" t="s">
        <v>39</v>
      </c>
      <c r="B13" s="328" t="s">
        <v>29</v>
      </c>
      <c r="C13" s="330">
        <v>121</v>
      </c>
      <c r="D13" s="325">
        <v>0</v>
      </c>
      <c r="E13" s="325">
        <v>0</v>
      </c>
      <c r="F13" s="325">
        <v>0</v>
      </c>
      <c r="G13" s="304">
        <f t="shared" ref="G13:G17" si="4">E13-D13</f>
        <v>0</v>
      </c>
      <c r="H13" s="304">
        <f t="shared" ref="H13:H17" si="5">F13-E13</f>
        <v>0</v>
      </c>
      <c r="I13" s="306" t="e">
        <f>G13/D13*100</f>
        <v>#DIV/0!</v>
      </c>
      <c r="J13" s="306" t="e">
        <f>H13/E13*100</f>
        <v>#DIV/0!</v>
      </c>
      <c r="K13" s="317">
        <f t="shared" ref="K13" si="6">(D13/D$6)*K$6</f>
        <v>0</v>
      </c>
      <c r="L13" s="317">
        <f>(E13/E$6)*L$6</f>
        <v>0</v>
      </c>
      <c r="M13" s="296">
        <f t="shared" ref="M13" si="7">(F13/F$6)*M$6</f>
        <v>0</v>
      </c>
    </row>
    <row r="14" spans="1:13" ht="30">
      <c r="A14" s="27" t="s">
        <v>43</v>
      </c>
      <c r="B14" s="329"/>
      <c r="C14" s="331"/>
      <c r="D14" s="326"/>
      <c r="E14" s="326"/>
      <c r="F14" s="326"/>
      <c r="G14" s="305"/>
      <c r="H14" s="305"/>
      <c r="I14" s="307"/>
      <c r="J14" s="307"/>
      <c r="K14" s="318"/>
      <c r="L14" s="318"/>
      <c r="M14" s="297"/>
    </row>
    <row r="15" spans="1:13">
      <c r="A15" s="28" t="s">
        <v>44</v>
      </c>
      <c r="B15" s="66" t="s">
        <v>30</v>
      </c>
      <c r="C15" s="67">
        <v>122</v>
      </c>
      <c r="D15" s="120">
        <v>0</v>
      </c>
      <c r="E15" s="120">
        <v>0</v>
      </c>
      <c r="F15" s="120">
        <v>0</v>
      </c>
      <c r="G15" s="84">
        <f t="shared" si="4"/>
        <v>0</v>
      </c>
      <c r="H15" s="84">
        <f t="shared" si="5"/>
        <v>0</v>
      </c>
      <c r="I15" s="94" t="e">
        <f t="shared" ref="I15:I17" si="8">G15/D15*100</f>
        <v>#DIV/0!</v>
      </c>
      <c r="J15" s="94" t="e">
        <f t="shared" ref="J15:J17" si="9">H15/E15*100</f>
        <v>#DIV/0!</v>
      </c>
      <c r="K15" s="125">
        <f t="shared" ref="K15:K27" si="10">(D15/D$6)*K$6</f>
        <v>0</v>
      </c>
      <c r="L15" s="106">
        <f t="shared" ref="L15:L27" si="11">(E15/E$6)*L$6</f>
        <v>0</v>
      </c>
      <c r="M15" s="107">
        <f t="shared" ref="M15:M27" si="12">(F15/F$6)*M$6</f>
        <v>0</v>
      </c>
    </row>
    <row r="16" spans="1:13">
      <c r="A16" s="30" t="s">
        <v>45</v>
      </c>
      <c r="B16" s="66" t="s">
        <v>31</v>
      </c>
      <c r="C16" s="67">
        <v>130</v>
      </c>
      <c r="D16" s="120">
        <v>0</v>
      </c>
      <c r="E16" s="120">
        <v>0</v>
      </c>
      <c r="F16" s="120">
        <v>0</v>
      </c>
      <c r="G16" s="84">
        <f t="shared" si="4"/>
        <v>0</v>
      </c>
      <c r="H16" s="84">
        <f t="shared" si="5"/>
        <v>0</v>
      </c>
      <c r="I16" s="94" t="e">
        <f t="shared" si="8"/>
        <v>#DIV/0!</v>
      </c>
      <c r="J16" s="94" t="e">
        <f t="shared" si="9"/>
        <v>#DIV/0!</v>
      </c>
      <c r="K16" s="125">
        <f>(D16/D$6)*K$6</f>
        <v>0</v>
      </c>
      <c r="L16" s="106">
        <f t="shared" si="11"/>
        <v>0</v>
      </c>
      <c r="M16" s="107">
        <f t="shared" si="12"/>
        <v>0</v>
      </c>
    </row>
    <row r="17" spans="1:13" ht="29.25" customHeight="1">
      <c r="A17" s="17" t="s">
        <v>13</v>
      </c>
      <c r="B17" s="66" t="s">
        <v>32</v>
      </c>
      <c r="C17" s="67">
        <v>135</v>
      </c>
      <c r="D17" s="120">
        <v>0</v>
      </c>
      <c r="E17" s="120">
        <v>0</v>
      </c>
      <c r="F17" s="120">
        <v>0</v>
      </c>
      <c r="G17" s="84">
        <f t="shared" si="4"/>
        <v>0</v>
      </c>
      <c r="H17" s="84">
        <f t="shared" si="5"/>
        <v>0</v>
      </c>
      <c r="I17" s="94" t="e">
        <f t="shared" si="8"/>
        <v>#DIV/0!</v>
      </c>
      <c r="J17" s="94" t="e">
        <f t="shared" si="9"/>
        <v>#DIV/0!</v>
      </c>
      <c r="K17" s="125">
        <f t="shared" si="10"/>
        <v>0</v>
      </c>
      <c r="L17" s="106">
        <f t="shared" si="11"/>
        <v>0</v>
      </c>
      <c r="M17" s="107">
        <f t="shared" si="12"/>
        <v>0</v>
      </c>
    </row>
    <row r="18" spans="1:13">
      <c r="A18" s="11" t="s">
        <v>46</v>
      </c>
      <c r="B18" s="328" t="s">
        <v>33</v>
      </c>
      <c r="C18" s="330">
        <v>136</v>
      </c>
      <c r="D18" s="325">
        <v>0</v>
      </c>
      <c r="E18" s="325">
        <v>0</v>
      </c>
      <c r="F18" s="325">
        <v>0</v>
      </c>
      <c r="G18" s="304">
        <f t="shared" ref="G18:G27" si="13">E18-D18</f>
        <v>0</v>
      </c>
      <c r="H18" s="304">
        <f t="shared" ref="H18:H27" si="14">F18-E18</f>
        <v>0</v>
      </c>
      <c r="I18" s="306" t="e">
        <f t="shared" ref="I18:I27" si="15">G18/D18*100</f>
        <v>#DIV/0!</v>
      </c>
      <c r="J18" s="306" t="e">
        <f t="shared" ref="J18:J27" si="16">H18/E18*100</f>
        <v>#DIV/0!</v>
      </c>
      <c r="K18" s="317">
        <f t="shared" si="10"/>
        <v>0</v>
      </c>
      <c r="L18" s="317">
        <f t="shared" si="11"/>
        <v>0</v>
      </c>
      <c r="M18" s="296">
        <f t="shared" si="12"/>
        <v>0</v>
      </c>
    </row>
    <row r="19" spans="1:13">
      <c r="A19" s="27" t="s">
        <v>47</v>
      </c>
      <c r="B19" s="329"/>
      <c r="C19" s="331"/>
      <c r="D19" s="326"/>
      <c r="E19" s="326"/>
      <c r="F19" s="326"/>
      <c r="G19" s="305"/>
      <c r="H19" s="305"/>
      <c r="I19" s="307"/>
      <c r="J19" s="307"/>
      <c r="K19" s="318"/>
      <c r="L19" s="318"/>
      <c r="M19" s="297"/>
    </row>
    <row r="20" spans="1:13" ht="30">
      <c r="A20" s="28" t="s">
        <v>48</v>
      </c>
      <c r="B20" s="66" t="s">
        <v>34</v>
      </c>
      <c r="C20" s="67">
        <v>137</v>
      </c>
      <c r="D20" s="120">
        <v>0</v>
      </c>
      <c r="E20" s="120">
        <v>0</v>
      </c>
      <c r="F20" s="120">
        <v>0</v>
      </c>
      <c r="G20" s="84">
        <f t="shared" si="13"/>
        <v>0</v>
      </c>
      <c r="H20" s="84">
        <f t="shared" si="14"/>
        <v>0</v>
      </c>
      <c r="I20" s="94" t="e">
        <f t="shared" si="15"/>
        <v>#DIV/0!</v>
      </c>
      <c r="J20" s="94" t="e">
        <f t="shared" si="16"/>
        <v>#DIV/0!</v>
      </c>
      <c r="K20" s="125">
        <f t="shared" si="10"/>
        <v>0</v>
      </c>
      <c r="L20" s="106">
        <f t="shared" si="11"/>
        <v>0</v>
      </c>
      <c r="M20" s="107">
        <f t="shared" si="12"/>
        <v>0</v>
      </c>
    </row>
    <row r="21" spans="1:13" ht="28.5">
      <c r="A21" s="17" t="s">
        <v>49</v>
      </c>
      <c r="B21" s="66" t="s">
        <v>35</v>
      </c>
      <c r="C21" s="67">
        <v>140</v>
      </c>
      <c r="D21" s="120">
        <v>0</v>
      </c>
      <c r="E21" s="120">
        <v>0</v>
      </c>
      <c r="F21" s="120">
        <v>0</v>
      </c>
      <c r="G21" s="84">
        <f t="shared" si="13"/>
        <v>0</v>
      </c>
      <c r="H21" s="84">
        <f t="shared" si="14"/>
        <v>0</v>
      </c>
      <c r="I21" s="94" t="e">
        <f t="shared" si="15"/>
        <v>#DIV/0!</v>
      </c>
      <c r="J21" s="94" t="e">
        <f t="shared" si="16"/>
        <v>#DIV/0!</v>
      </c>
      <c r="K21" s="125">
        <f t="shared" si="10"/>
        <v>0</v>
      </c>
      <c r="L21" s="106">
        <f t="shared" si="11"/>
        <v>0</v>
      </c>
      <c r="M21" s="107">
        <f t="shared" si="12"/>
        <v>0</v>
      </c>
    </row>
    <row r="22" spans="1:13">
      <c r="A22" s="15" t="s">
        <v>46</v>
      </c>
      <c r="B22" s="332" t="s">
        <v>36</v>
      </c>
      <c r="C22" s="333">
        <v>141</v>
      </c>
      <c r="D22" s="334">
        <v>0</v>
      </c>
      <c r="E22" s="334">
        <v>0</v>
      </c>
      <c r="F22" s="325">
        <v>0</v>
      </c>
      <c r="G22" s="304">
        <f t="shared" si="13"/>
        <v>0</v>
      </c>
      <c r="H22" s="304">
        <f t="shared" si="14"/>
        <v>0</v>
      </c>
      <c r="I22" s="306" t="e">
        <f t="shared" si="15"/>
        <v>#DIV/0!</v>
      </c>
      <c r="J22" s="306" t="e">
        <f t="shared" si="16"/>
        <v>#DIV/0!</v>
      </c>
      <c r="K22" s="317">
        <f t="shared" si="10"/>
        <v>0</v>
      </c>
      <c r="L22" s="317">
        <f t="shared" si="11"/>
        <v>0</v>
      </c>
      <c r="M22" s="296">
        <f t="shared" si="12"/>
        <v>0</v>
      </c>
    </row>
    <row r="23" spans="1:13">
      <c r="A23" s="28" t="s">
        <v>50</v>
      </c>
      <c r="B23" s="332"/>
      <c r="C23" s="333"/>
      <c r="D23" s="334"/>
      <c r="E23" s="334"/>
      <c r="F23" s="326"/>
      <c r="G23" s="305"/>
      <c r="H23" s="305"/>
      <c r="I23" s="307"/>
      <c r="J23" s="307"/>
      <c r="K23" s="318"/>
      <c r="L23" s="318"/>
      <c r="M23" s="297"/>
    </row>
    <row r="24" spans="1:13">
      <c r="A24" s="28" t="s">
        <v>51</v>
      </c>
      <c r="B24" s="66" t="s">
        <v>37</v>
      </c>
      <c r="C24" s="67">
        <v>142</v>
      </c>
      <c r="D24" s="120">
        <v>0</v>
      </c>
      <c r="E24" s="120">
        <v>0</v>
      </c>
      <c r="F24" s="120">
        <v>0</v>
      </c>
      <c r="G24" s="84">
        <f t="shared" si="13"/>
        <v>0</v>
      </c>
      <c r="H24" s="84">
        <f t="shared" si="14"/>
        <v>0</v>
      </c>
      <c r="I24" s="94" t="e">
        <f t="shared" si="15"/>
        <v>#DIV/0!</v>
      </c>
      <c r="J24" s="94" t="e">
        <f t="shared" si="16"/>
        <v>#DIV/0!</v>
      </c>
      <c r="K24" s="125">
        <f t="shared" si="10"/>
        <v>0</v>
      </c>
      <c r="L24" s="106">
        <f t="shared" si="11"/>
        <v>0</v>
      </c>
      <c r="M24" s="107">
        <f t="shared" si="12"/>
        <v>0</v>
      </c>
    </row>
    <row r="25" spans="1:13">
      <c r="A25" s="28" t="s">
        <v>52</v>
      </c>
      <c r="B25" s="66" t="s">
        <v>55</v>
      </c>
      <c r="C25" s="67">
        <v>143</v>
      </c>
      <c r="D25" s="120">
        <v>0</v>
      </c>
      <c r="E25" s="120">
        <v>0</v>
      </c>
      <c r="F25" s="120">
        <v>0</v>
      </c>
      <c r="G25" s="84">
        <f t="shared" si="13"/>
        <v>0</v>
      </c>
      <c r="H25" s="84">
        <f t="shared" si="14"/>
        <v>0</v>
      </c>
      <c r="I25" s="94" t="e">
        <f t="shared" si="15"/>
        <v>#DIV/0!</v>
      </c>
      <c r="J25" s="94" t="e">
        <f t="shared" si="16"/>
        <v>#DIV/0!</v>
      </c>
      <c r="K25" s="125">
        <f t="shared" si="10"/>
        <v>0</v>
      </c>
      <c r="L25" s="106">
        <f t="shared" si="11"/>
        <v>0</v>
      </c>
      <c r="M25" s="107">
        <f t="shared" si="12"/>
        <v>0</v>
      </c>
    </row>
    <row r="26" spans="1:13" ht="45">
      <c r="A26" s="28" t="s">
        <v>53</v>
      </c>
      <c r="B26" s="66" t="s">
        <v>56</v>
      </c>
      <c r="C26" s="67">
        <v>144</v>
      </c>
      <c r="D26" s="120">
        <v>0</v>
      </c>
      <c r="E26" s="120">
        <v>0</v>
      </c>
      <c r="F26" s="120">
        <v>0</v>
      </c>
      <c r="G26" s="84">
        <f>E26-D26</f>
        <v>0</v>
      </c>
      <c r="H26" s="84">
        <f>F26-E26</f>
        <v>0</v>
      </c>
      <c r="I26" s="94" t="e">
        <f>G26/D26*100</f>
        <v>#DIV/0!</v>
      </c>
      <c r="J26" s="94" t="e">
        <f>H26/E26*100</f>
        <v>#DIV/0!</v>
      </c>
      <c r="K26" s="125">
        <f t="shared" si="10"/>
        <v>0</v>
      </c>
      <c r="L26" s="106">
        <f t="shared" si="11"/>
        <v>0</v>
      </c>
      <c r="M26" s="107">
        <f t="shared" si="12"/>
        <v>0</v>
      </c>
    </row>
    <row r="27" spans="1:13" ht="30.75" thickBot="1">
      <c r="A27" s="31" t="s">
        <v>54</v>
      </c>
      <c r="B27" s="32" t="s">
        <v>57</v>
      </c>
      <c r="C27" s="33">
        <v>145</v>
      </c>
      <c r="D27" s="123">
        <v>0</v>
      </c>
      <c r="E27" s="123">
        <v>0</v>
      </c>
      <c r="F27" s="123">
        <v>0</v>
      </c>
      <c r="G27" s="91">
        <f t="shared" si="13"/>
        <v>0</v>
      </c>
      <c r="H27" s="91">
        <f t="shared" si="14"/>
        <v>0</v>
      </c>
      <c r="I27" s="95" t="e">
        <f t="shared" si="15"/>
        <v>#DIV/0!</v>
      </c>
      <c r="J27" s="95" t="e">
        <f t="shared" si="16"/>
        <v>#DIV/0!</v>
      </c>
      <c r="K27" s="108">
        <f t="shared" si="10"/>
        <v>0</v>
      </c>
      <c r="L27" s="108">
        <f t="shared" si="11"/>
        <v>0</v>
      </c>
      <c r="M27" s="109">
        <f t="shared" si="12"/>
        <v>0</v>
      </c>
    </row>
  </sheetData>
  <mergeCells count="56">
    <mergeCell ref="A1:M1"/>
    <mergeCell ref="K18:K19"/>
    <mergeCell ref="M18:M19"/>
    <mergeCell ref="B22:B23"/>
    <mergeCell ref="C22:C23"/>
    <mergeCell ref="D22:D23"/>
    <mergeCell ref="E22:E23"/>
    <mergeCell ref="H22:H23"/>
    <mergeCell ref="J22:J23"/>
    <mergeCell ref="K22:K23"/>
    <mergeCell ref="M22:M23"/>
    <mergeCell ref="B18:B19"/>
    <mergeCell ref="C18:C19"/>
    <mergeCell ref="D18:D19"/>
    <mergeCell ref="E18:E19"/>
    <mergeCell ref="H18:H19"/>
    <mergeCell ref="M13:M14"/>
    <mergeCell ref="K3:M3"/>
    <mergeCell ref="B8:B9"/>
    <mergeCell ref="C8:C9"/>
    <mergeCell ref="D8:D9"/>
    <mergeCell ref="E8:E9"/>
    <mergeCell ref="H8:H9"/>
    <mergeCell ref="J8:J9"/>
    <mergeCell ref="K8:K9"/>
    <mergeCell ref="M8:M9"/>
    <mergeCell ref="G3:H3"/>
    <mergeCell ref="I3:J3"/>
    <mergeCell ref="G8:G9"/>
    <mergeCell ref="I8:I9"/>
    <mergeCell ref="B13:B14"/>
    <mergeCell ref="C13:C14"/>
    <mergeCell ref="A3:A4"/>
    <mergeCell ref="B3:B4"/>
    <mergeCell ref="C3:C4"/>
    <mergeCell ref="D3:F3"/>
    <mergeCell ref="K13:K14"/>
    <mergeCell ref="D13:D14"/>
    <mergeCell ref="E13:E14"/>
    <mergeCell ref="H13:H14"/>
    <mergeCell ref="J13:J14"/>
    <mergeCell ref="F8:F9"/>
    <mergeCell ref="G22:G23"/>
    <mergeCell ref="F22:F23"/>
    <mergeCell ref="G18:G19"/>
    <mergeCell ref="F18:F19"/>
    <mergeCell ref="F13:F14"/>
    <mergeCell ref="G13:G14"/>
    <mergeCell ref="L8:L9"/>
    <mergeCell ref="J18:J19"/>
    <mergeCell ref="L13:L14"/>
    <mergeCell ref="L22:L23"/>
    <mergeCell ref="I22:I23"/>
    <mergeCell ref="I13:I14"/>
    <mergeCell ref="I18:I19"/>
    <mergeCell ref="L18:L19"/>
  </mergeCells>
  <pageMargins left="0.7" right="0.7" top="0.75" bottom="0.75" header="0.3" footer="0.3"/>
  <ignoredErrors>
    <ignoredError sqref="B6:B27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O44"/>
  <sheetViews>
    <sheetView zoomScaleNormal="100" workbookViewId="0">
      <selection sqref="A1:M1"/>
    </sheetView>
  </sheetViews>
  <sheetFormatPr defaultRowHeight="15"/>
  <cols>
    <col min="1" max="1" width="38" customWidth="1"/>
    <col min="2" max="2" width="13.85546875" bestFit="1" customWidth="1"/>
    <col min="3" max="3" width="11.7109375" customWidth="1"/>
    <col min="4" max="13" width="9.140625" style="4"/>
  </cols>
  <sheetData>
    <row r="1" spans="1:13" ht="30.75" customHeight="1">
      <c r="A1" s="316" t="s">
        <v>60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</row>
    <row r="2" spans="1:13" ht="15.75" thickBot="1">
      <c r="A2" s="5"/>
      <c r="B2" s="5"/>
      <c r="C2" s="5"/>
      <c r="D2" s="130"/>
      <c r="E2" s="130"/>
      <c r="F2" s="130"/>
      <c r="G2" s="130"/>
      <c r="H2" s="130"/>
      <c r="I2" s="130"/>
    </row>
    <row r="3" spans="1:13" ht="34.5" customHeight="1">
      <c r="A3" s="311" t="s">
        <v>0</v>
      </c>
      <c r="B3" s="313" t="s">
        <v>1</v>
      </c>
      <c r="C3" s="313" t="s">
        <v>2</v>
      </c>
      <c r="D3" s="327" t="s">
        <v>3</v>
      </c>
      <c r="E3" s="327"/>
      <c r="F3" s="327"/>
      <c r="G3" s="319" t="s">
        <v>4</v>
      </c>
      <c r="H3" s="320"/>
      <c r="I3" s="294" t="s">
        <v>5</v>
      </c>
      <c r="J3" s="295"/>
      <c r="K3" s="321" t="s">
        <v>6</v>
      </c>
      <c r="L3" s="322"/>
      <c r="M3" s="323"/>
    </row>
    <row r="4" spans="1:13" ht="27" customHeight="1" thickBot="1">
      <c r="A4" s="312"/>
      <c r="B4" s="314"/>
      <c r="C4" s="314"/>
      <c r="D4" s="117">
        <v>2007</v>
      </c>
      <c r="E4" s="117">
        <v>2008</v>
      </c>
      <c r="F4" s="117">
        <v>2009</v>
      </c>
      <c r="G4" s="81" t="s">
        <v>101</v>
      </c>
      <c r="H4" s="81" t="s">
        <v>102</v>
      </c>
      <c r="I4" s="85" t="s">
        <v>101</v>
      </c>
      <c r="J4" s="85" t="s">
        <v>102</v>
      </c>
      <c r="K4" s="97">
        <v>2007</v>
      </c>
      <c r="L4" s="98">
        <v>2008</v>
      </c>
      <c r="M4" s="99">
        <v>2009</v>
      </c>
    </row>
    <row r="5" spans="1:13" ht="15.75" thickBot="1">
      <c r="A5" s="22">
        <v>1</v>
      </c>
      <c r="B5" s="23">
        <v>2</v>
      </c>
      <c r="C5" s="23">
        <v>3</v>
      </c>
      <c r="D5" s="118">
        <v>4</v>
      </c>
      <c r="E5" s="118">
        <v>5</v>
      </c>
      <c r="F5" s="118">
        <v>6</v>
      </c>
      <c r="G5" s="114">
        <v>7</v>
      </c>
      <c r="H5" s="114">
        <v>8</v>
      </c>
      <c r="I5" s="111">
        <v>9</v>
      </c>
      <c r="J5" s="111">
        <v>10</v>
      </c>
      <c r="K5" s="110">
        <v>11</v>
      </c>
      <c r="L5" s="110">
        <v>12</v>
      </c>
      <c r="M5" s="129">
        <v>13</v>
      </c>
    </row>
    <row r="6" spans="1:13">
      <c r="A6" s="34" t="s">
        <v>61</v>
      </c>
      <c r="B6" s="24" t="s">
        <v>23</v>
      </c>
      <c r="C6" s="69">
        <v>290</v>
      </c>
      <c r="D6" s="119">
        <v>62355</v>
      </c>
      <c r="E6" s="119">
        <v>80189</v>
      </c>
      <c r="F6" s="119">
        <v>97314</v>
      </c>
      <c r="G6" s="83">
        <f>E6-D6</f>
        <v>17834</v>
      </c>
      <c r="H6" s="83">
        <f>F6-E6</f>
        <v>17125</v>
      </c>
      <c r="I6" s="93">
        <f>G6/D6*100</f>
        <v>28.600753748696977</v>
      </c>
      <c r="J6" s="93">
        <f>H6/E6*100</f>
        <v>21.355796929753456</v>
      </c>
      <c r="K6" s="103">
        <v>100</v>
      </c>
      <c r="L6" s="104">
        <v>100</v>
      </c>
      <c r="M6" s="105">
        <v>100</v>
      </c>
    </row>
    <row r="7" spans="1:13">
      <c r="A7" s="35" t="s">
        <v>159</v>
      </c>
      <c r="B7" s="66" t="s">
        <v>24</v>
      </c>
      <c r="C7" s="67">
        <v>210</v>
      </c>
      <c r="D7" s="120">
        <v>17398</v>
      </c>
      <c r="E7" s="120">
        <v>26594</v>
      </c>
      <c r="F7" s="120">
        <v>33976</v>
      </c>
      <c r="G7" s="84">
        <f>E7-D7</f>
        <v>9196</v>
      </c>
      <c r="H7" s="84">
        <f>F7-E7</f>
        <v>7382</v>
      </c>
      <c r="I7" s="94">
        <f>G7/D7*100</f>
        <v>52.856650189676976</v>
      </c>
      <c r="J7" s="94">
        <f>H7/E7*100</f>
        <v>27.758140934045272</v>
      </c>
      <c r="K7" s="106">
        <f>(D7/D$6)*K$6</f>
        <v>27.901531553203434</v>
      </c>
      <c r="L7" s="106">
        <f>(E7/E$6)*L$6</f>
        <v>33.164149696342392</v>
      </c>
      <c r="M7" s="107">
        <f>(F7/F$6)*M$6</f>
        <v>34.913784244815751</v>
      </c>
    </row>
    <row r="8" spans="1:13">
      <c r="A8" s="35" t="s">
        <v>62</v>
      </c>
      <c r="B8" s="328" t="s">
        <v>25</v>
      </c>
      <c r="C8" s="330">
        <v>211</v>
      </c>
      <c r="D8" s="325">
        <v>7386</v>
      </c>
      <c r="E8" s="325">
        <v>13307</v>
      </c>
      <c r="F8" s="325">
        <v>14994</v>
      </c>
      <c r="G8" s="304">
        <f t="shared" ref="G8:H21" si="0">E8-D8</f>
        <v>5921</v>
      </c>
      <c r="H8" s="304">
        <f>F8-E8</f>
        <v>1687</v>
      </c>
      <c r="I8" s="306">
        <f>G8/D8*100</f>
        <v>80.16517736257785</v>
      </c>
      <c r="J8" s="306">
        <f t="shared" ref="J8:J12" si="1">H8/E8*100</f>
        <v>12.6775381378222</v>
      </c>
      <c r="K8" s="317">
        <f>(D8/D6)*K6</f>
        <v>11.845080586961751</v>
      </c>
      <c r="L8" s="317">
        <f>(E8/E6)*L6</f>
        <v>16.594545386524338</v>
      </c>
      <c r="M8" s="296">
        <f>(F8/F6)*M6</f>
        <v>15.407854984894259</v>
      </c>
    </row>
    <row r="9" spans="1:13" ht="25.5">
      <c r="A9" s="36" t="s">
        <v>63</v>
      </c>
      <c r="B9" s="329"/>
      <c r="C9" s="331"/>
      <c r="D9" s="326"/>
      <c r="E9" s="326"/>
      <c r="F9" s="326"/>
      <c r="G9" s="305"/>
      <c r="H9" s="305"/>
      <c r="I9" s="307"/>
      <c r="J9" s="307"/>
      <c r="K9" s="318"/>
      <c r="L9" s="318"/>
      <c r="M9" s="297"/>
    </row>
    <row r="10" spans="1:13">
      <c r="A10" s="36" t="s">
        <v>64</v>
      </c>
      <c r="B10" s="66" t="s">
        <v>26</v>
      </c>
      <c r="C10" s="67">
        <v>212</v>
      </c>
      <c r="D10" s="120">
        <v>0</v>
      </c>
      <c r="E10" s="120">
        <v>0</v>
      </c>
      <c r="F10" s="120">
        <v>0</v>
      </c>
      <c r="G10" s="84">
        <f t="shared" si="0"/>
        <v>0</v>
      </c>
      <c r="H10" s="84">
        <f t="shared" si="0"/>
        <v>0</v>
      </c>
      <c r="I10" s="94" t="e">
        <f t="shared" ref="I10:I12" si="2">G10/D10*100</f>
        <v>#DIV/0!</v>
      </c>
      <c r="J10" s="94" t="e">
        <f t="shared" si="1"/>
        <v>#DIV/0!</v>
      </c>
      <c r="K10" s="106">
        <f>(D10/$D6)*$K6</f>
        <v>0</v>
      </c>
      <c r="L10" s="106">
        <f>(E10/$E6)*$L6</f>
        <v>0</v>
      </c>
      <c r="M10" s="107">
        <f>(F10/$F6)*$M6</f>
        <v>0</v>
      </c>
    </row>
    <row r="11" spans="1:13" ht="32.25" customHeight="1">
      <c r="A11" s="37" t="s">
        <v>65</v>
      </c>
      <c r="B11" s="66" t="s">
        <v>27</v>
      </c>
      <c r="C11" s="29">
        <v>213</v>
      </c>
      <c r="D11" s="120">
        <v>1768</v>
      </c>
      <c r="E11" s="120">
        <v>1761</v>
      </c>
      <c r="F11" s="120">
        <v>2029</v>
      </c>
      <c r="G11" s="84">
        <f t="shared" si="0"/>
        <v>-7</v>
      </c>
      <c r="H11" s="84">
        <f t="shared" si="0"/>
        <v>268</v>
      </c>
      <c r="I11" s="94">
        <f t="shared" si="2"/>
        <v>-0.39592760180995473</v>
      </c>
      <c r="J11" s="94">
        <f t="shared" si="1"/>
        <v>15.218625780806361</v>
      </c>
      <c r="K11" s="106">
        <f>(D11/$D6)*$K6</f>
        <v>2.8353780771389623</v>
      </c>
      <c r="L11" s="106">
        <f>(E11/E$6)*L$6</f>
        <v>2.1960618039880782</v>
      </c>
      <c r="M11" s="107">
        <f>(F11/$F6)*$M6</f>
        <v>2.0850031855642559</v>
      </c>
    </row>
    <row r="12" spans="1:13" ht="25.5">
      <c r="A12" s="36" t="s">
        <v>66</v>
      </c>
      <c r="B12" s="66" t="s">
        <v>28</v>
      </c>
      <c r="C12" s="67">
        <v>214</v>
      </c>
      <c r="D12" s="120">
        <v>8244</v>
      </c>
      <c r="E12" s="120">
        <v>11526</v>
      </c>
      <c r="F12" s="120">
        <v>16952</v>
      </c>
      <c r="G12" s="84">
        <f t="shared" si="0"/>
        <v>3282</v>
      </c>
      <c r="H12" s="84">
        <f t="shared" si="0"/>
        <v>5426</v>
      </c>
      <c r="I12" s="94">
        <f t="shared" si="2"/>
        <v>39.81077147016012</v>
      </c>
      <c r="J12" s="94">
        <f t="shared" si="1"/>
        <v>47.076175602984556</v>
      </c>
      <c r="K12" s="106">
        <f>(D12/D$6)*K$6</f>
        <v>13.22107288910272</v>
      </c>
      <c r="L12" s="106">
        <f>(E12/E$6)*L$6</f>
        <v>14.373542505829976</v>
      </c>
      <c r="M12" s="107">
        <f>(F12/F$6)*M$6</f>
        <v>17.419898472984361</v>
      </c>
    </row>
    <row r="13" spans="1:13">
      <c r="A13" s="37" t="s">
        <v>67</v>
      </c>
      <c r="B13" s="66" t="s">
        <v>29</v>
      </c>
      <c r="C13" s="67">
        <v>215</v>
      </c>
      <c r="D13" s="120">
        <v>0</v>
      </c>
      <c r="E13" s="120">
        <v>0</v>
      </c>
      <c r="F13" s="120">
        <v>0</v>
      </c>
      <c r="G13" s="124">
        <f t="shared" si="0"/>
        <v>0</v>
      </c>
      <c r="H13" s="124">
        <f t="shared" si="0"/>
        <v>0</v>
      </c>
      <c r="I13" s="128" t="e">
        <f>G13/D13*100</f>
        <v>#DIV/0!</v>
      </c>
      <c r="J13" s="128" t="e">
        <f>H13/E13*100</f>
        <v>#DIV/0!</v>
      </c>
      <c r="K13" s="125">
        <f t="shared" ref="K13" si="3">(D13/D$6)*K$6</f>
        <v>0</v>
      </c>
      <c r="L13" s="125">
        <f>(E13/E$6)*L$6</f>
        <v>0</v>
      </c>
      <c r="M13" s="126">
        <f t="shared" ref="M13" si="4">(F13/F$6)*M$6</f>
        <v>0</v>
      </c>
    </row>
    <row r="14" spans="1:13">
      <c r="A14" s="38" t="s">
        <v>68</v>
      </c>
      <c r="B14" s="66" t="s">
        <v>30</v>
      </c>
      <c r="C14" s="67">
        <v>216</v>
      </c>
      <c r="D14" s="120">
        <v>0</v>
      </c>
      <c r="E14" s="120">
        <v>0</v>
      </c>
      <c r="F14" s="120">
        <v>0</v>
      </c>
      <c r="G14" s="124">
        <f t="shared" ref="G14" si="5">E14-D14</f>
        <v>0</v>
      </c>
      <c r="H14" s="124">
        <f t="shared" ref="H14" si="6">F14-E14</f>
        <v>0</v>
      </c>
      <c r="I14" s="128" t="e">
        <f>G14/D14*100</f>
        <v>#DIV/0!</v>
      </c>
      <c r="J14" s="128" t="e">
        <f>H14/E14*100</f>
        <v>#DIV/0!</v>
      </c>
      <c r="K14" s="125">
        <f>(D14/D$6)*K$6</f>
        <v>0</v>
      </c>
      <c r="L14" s="125">
        <f>(E14/E$6)*L$6</f>
        <v>0</v>
      </c>
      <c r="M14" s="126">
        <f>(F14/F$6)*M$6</f>
        <v>0</v>
      </c>
    </row>
    <row r="15" spans="1:13">
      <c r="A15" s="37" t="s">
        <v>69</v>
      </c>
      <c r="B15" s="66" t="s">
        <v>31</v>
      </c>
      <c r="C15" s="67">
        <v>217</v>
      </c>
      <c r="D15" s="120">
        <v>0</v>
      </c>
      <c r="E15" s="120">
        <v>0</v>
      </c>
      <c r="F15" s="120">
        <v>0</v>
      </c>
      <c r="G15" s="84">
        <f t="shared" si="0"/>
        <v>0</v>
      </c>
      <c r="H15" s="84">
        <f t="shared" si="0"/>
        <v>0</v>
      </c>
      <c r="I15" s="94" t="e">
        <f t="shared" ref="I15:J28" si="7">G15/D15*100</f>
        <v>#DIV/0!</v>
      </c>
      <c r="J15" s="94" t="e">
        <f t="shared" si="7"/>
        <v>#DIV/0!</v>
      </c>
      <c r="K15" s="125">
        <f t="shared" ref="K15:M27" si="8">(D15/D$6)*K$6</f>
        <v>0</v>
      </c>
      <c r="L15" s="106">
        <f t="shared" si="8"/>
        <v>0</v>
      </c>
      <c r="M15" s="107">
        <f t="shared" si="8"/>
        <v>0</v>
      </c>
    </row>
    <row r="16" spans="1:13">
      <c r="A16" s="39" t="s">
        <v>70</v>
      </c>
      <c r="B16" s="66" t="s">
        <v>32</v>
      </c>
      <c r="C16" s="67">
        <v>220</v>
      </c>
      <c r="D16" s="120">
        <v>0</v>
      </c>
      <c r="E16" s="120">
        <v>0</v>
      </c>
      <c r="F16" s="120">
        <v>0</v>
      </c>
      <c r="G16" s="84">
        <f t="shared" si="0"/>
        <v>0</v>
      </c>
      <c r="H16" s="84">
        <f t="shared" si="0"/>
        <v>0</v>
      </c>
      <c r="I16" s="94" t="e">
        <f t="shared" si="7"/>
        <v>#DIV/0!</v>
      </c>
      <c r="J16" s="94" t="e">
        <f t="shared" si="7"/>
        <v>#DIV/0!</v>
      </c>
      <c r="K16" s="125">
        <f>(D16/D$6)*K$6</f>
        <v>0</v>
      </c>
      <c r="L16" s="106">
        <f t="shared" si="8"/>
        <v>0</v>
      </c>
      <c r="M16" s="107">
        <f t="shared" si="8"/>
        <v>0</v>
      </c>
    </row>
    <row r="17" spans="1:15" ht="54" customHeight="1">
      <c r="A17" s="40" t="s">
        <v>162</v>
      </c>
      <c r="B17" s="41" t="s">
        <v>33</v>
      </c>
      <c r="C17" s="67">
        <v>230</v>
      </c>
      <c r="D17" s="120">
        <v>0</v>
      </c>
      <c r="E17" s="120">
        <v>0</v>
      </c>
      <c r="F17" s="120">
        <v>0</v>
      </c>
      <c r="G17" s="84">
        <f t="shared" si="0"/>
        <v>0</v>
      </c>
      <c r="H17" s="84">
        <f t="shared" si="0"/>
        <v>0</v>
      </c>
      <c r="I17" s="94" t="e">
        <f t="shared" si="7"/>
        <v>#DIV/0!</v>
      </c>
      <c r="J17" s="94" t="e">
        <f t="shared" si="7"/>
        <v>#DIV/0!</v>
      </c>
      <c r="K17" s="125">
        <f t="shared" si="8"/>
        <v>0</v>
      </c>
      <c r="L17" s="106">
        <f t="shared" si="8"/>
        <v>0</v>
      </c>
      <c r="M17" s="107">
        <f t="shared" si="8"/>
        <v>0</v>
      </c>
    </row>
    <row r="18" spans="1:15">
      <c r="A18" s="42" t="s">
        <v>160</v>
      </c>
      <c r="B18" s="328" t="s">
        <v>34</v>
      </c>
      <c r="C18" s="330">
        <v>231</v>
      </c>
      <c r="D18" s="334">
        <v>0</v>
      </c>
      <c r="E18" s="334">
        <v>0</v>
      </c>
      <c r="F18" s="334">
        <v>0</v>
      </c>
      <c r="G18" s="304">
        <f t="shared" si="0"/>
        <v>0</v>
      </c>
      <c r="H18" s="304">
        <f t="shared" si="0"/>
        <v>0</v>
      </c>
      <c r="I18" s="306" t="e">
        <f t="shared" si="7"/>
        <v>#DIV/0!</v>
      </c>
      <c r="J18" s="306" t="e">
        <f t="shared" si="7"/>
        <v>#DIV/0!</v>
      </c>
      <c r="K18" s="317">
        <f t="shared" si="8"/>
        <v>0</v>
      </c>
      <c r="L18" s="317">
        <f t="shared" si="8"/>
        <v>0</v>
      </c>
      <c r="M18" s="296">
        <f t="shared" si="8"/>
        <v>0</v>
      </c>
    </row>
    <row r="19" spans="1:15">
      <c r="A19" s="36" t="s">
        <v>71</v>
      </c>
      <c r="B19" s="329"/>
      <c r="C19" s="331"/>
      <c r="D19" s="334"/>
      <c r="E19" s="334"/>
      <c r="F19" s="334"/>
      <c r="G19" s="305"/>
      <c r="H19" s="305"/>
      <c r="I19" s="307"/>
      <c r="J19" s="307"/>
      <c r="K19" s="318"/>
      <c r="L19" s="318"/>
      <c r="M19" s="297"/>
      <c r="N19" s="1"/>
      <c r="O19" s="1"/>
    </row>
    <row r="20" spans="1:15">
      <c r="A20" s="37" t="s">
        <v>72</v>
      </c>
      <c r="B20" s="66" t="s">
        <v>35</v>
      </c>
      <c r="C20" s="67">
        <v>232</v>
      </c>
      <c r="D20" s="121">
        <v>0</v>
      </c>
      <c r="E20" s="121">
        <v>0</v>
      </c>
      <c r="F20" s="121">
        <v>0</v>
      </c>
      <c r="G20" s="124">
        <f t="shared" si="0"/>
        <v>0</v>
      </c>
      <c r="H20" s="124">
        <f t="shared" si="0"/>
        <v>0</v>
      </c>
      <c r="I20" s="128" t="e">
        <f t="shared" si="7"/>
        <v>#DIV/0!</v>
      </c>
      <c r="J20" s="128" t="e">
        <f t="shared" si="7"/>
        <v>#DIV/0!</v>
      </c>
      <c r="K20" s="125">
        <f t="shared" si="8"/>
        <v>0</v>
      </c>
      <c r="L20" s="125">
        <f t="shared" si="8"/>
        <v>0</v>
      </c>
      <c r="M20" s="126">
        <f t="shared" si="8"/>
        <v>0</v>
      </c>
      <c r="N20" s="1"/>
      <c r="O20" s="1"/>
    </row>
    <row r="21" spans="1:15" ht="25.5">
      <c r="A21" s="37" t="s">
        <v>73</v>
      </c>
      <c r="B21" s="66" t="s">
        <v>36</v>
      </c>
      <c r="C21" s="67">
        <v>233</v>
      </c>
      <c r="D21" s="120">
        <v>0</v>
      </c>
      <c r="E21" s="120">
        <v>0</v>
      </c>
      <c r="F21" s="120">
        <v>0</v>
      </c>
      <c r="G21" s="84">
        <f t="shared" si="0"/>
        <v>0</v>
      </c>
      <c r="H21" s="84">
        <f t="shared" si="0"/>
        <v>0</v>
      </c>
      <c r="I21" s="94" t="e">
        <f t="shared" si="7"/>
        <v>#DIV/0!</v>
      </c>
      <c r="J21" s="94" t="e">
        <f t="shared" si="7"/>
        <v>#DIV/0!</v>
      </c>
      <c r="K21" s="106">
        <f t="shared" si="8"/>
        <v>0</v>
      </c>
      <c r="L21" s="106">
        <f t="shared" si="8"/>
        <v>0</v>
      </c>
      <c r="M21" s="107">
        <f t="shared" si="8"/>
        <v>0</v>
      </c>
      <c r="N21" s="1"/>
      <c r="O21" s="1"/>
    </row>
    <row r="22" spans="1:15">
      <c r="A22" s="37" t="s">
        <v>74</v>
      </c>
      <c r="B22" s="66" t="s">
        <v>37</v>
      </c>
      <c r="C22" s="67">
        <v>234</v>
      </c>
      <c r="D22" s="120">
        <v>0</v>
      </c>
      <c r="E22" s="120">
        <v>0</v>
      </c>
      <c r="F22" s="120">
        <v>0</v>
      </c>
      <c r="G22" s="84">
        <f t="shared" ref="G22:G23" si="9">E22-D22</f>
        <v>0</v>
      </c>
      <c r="H22" s="84">
        <f t="shared" ref="H22:H23" si="10">F22-E22</f>
        <v>0</v>
      </c>
      <c r="I22" s="94" t="e">
        <f t="shared" ref="I22:I23" si="11">G22/D22*100</f>
        <v>#DIV/0!</v>
      </c>
      <c r="J22" s="94" t="e">
        <f t="shared" ref="J22:J23" si="12">H22/E22*100</f>
        <v>#DIV/0!</v>
      </c>
      <c r="K22" s="106">
        <f>(D22/D$6)*K$6</f>
        <v>0</v>
      </c>
      <c r="L22" s="106">
        <f t="shared" ref="L22:L23" si="13">(E22/E$6)*L$6</f>
        <v>0</v>
      </c>
      <c r="M22" s="107">
        <f t="shared" ref="M22:M23" si="14">(F22/F$6)*M$6</f>
        <v>0</v>
      </c>
      <c r="N22" s="1"/>
      <c r="O22" s="1"/>
    </row>
    <row r="23" spans="1:15">
      <c r="A23" s="37" t="s">
        <v>75</v>
      </c>
      <c r="B23" s="66" t="s">
        <v>55</v>
      </c>
      <c r="C23" s="67">
        <v>235</v>
      </c>
      <c r="D23" s="120">
        <v>0</v>
      </c>
      <c r="E23" s="120">
        <v>0</v>
      </c>
      <c r="F23" s="120">
        <v>0</v>
      </c>
      <c r="G23" s="84">
        <f t="shared" si="9"/>
        <v>0</v>
      </c>
      <c r="H23" s="84">
        <f t="shared" si="10"/>
        <v>0</v>
      </c>
      <c r="I23" s="94" t="e">
        <f t="shared" si="11"/>
        <v>#DIV/0!</v>
      </c>
      <c r="J23" s="94" t="e">
        <f t="shared" si="12"/>
        <v>#DIV/0!</v>
      </c>
      <c r="K23" s="106">
        <f t="shared" ref="K23" si="15">(D23/D$6)*K$6</f>
        <v>0</v>
      </c>
      <c r="L23" s="106">
        <f t="shared" si="13"/>
        <v>0</v>
      </c>
      <c r="M23" s="107">
        <f t="shared" si="14"/>
        <v>0</v>
      </c>
      <c r="N23" s="1"/>
      <c r="O23" s="1"/>
    </row>
    <row r="24" spans="1:15" ht="54" customHeight="1">
      <c r="A24" s="43" t="s">
        <v>163</v>
      </c>
      <c r="B24" s="44" t="s">
        <v>56</v>
      </c>
      <c r="C24" s="45">
        <v>240</v>
      </c>
      <c r="D24" s="120">
        <v>42568</v>
      </c>
      <c r="E24" s="120">
        <v>46886</v>
      </c>
      <c r="F24" s="120">
        <v>58171</v>
      </c>
      <c r="G24" s="84">
        <f t="shared" ref="G24:H28" si="16">E24-D24</f>
        <v>4318</v>
      </c>
      <c r="H24" s="84">
        <f t="shared" si="16"/>
        <v>11285</v>
      </c>
      <c r="I24" s="94">
        <f t="shared" si="7"/>
        <v>10.143769968051117</v>
      </c>
      <c r="J24" s="94">
        <f t="shared" si="7"/>
        <v>24.069018470332296</v>
      </c>
      <c r="K24" s="106">
        <f t="shared" si="8"/>
        <v>68.267179857268872</v>
      </c>
      <c r="L24" s="106">
        <f t="shared" si="8"/>
        <v>58.469366122535504</v>
      </c>
      <c r="M24" s="107">
        <f t="shared" si="8"/>
        <v>59.776599461536883</v>
      </c>
      <c r="N24" s="1"/>
      <c r="O24" s="1"/>
    </row>
    <row r="25" spans="1:15">
      <c r="A25" s="46" t="s">
        <v>160</v>
      </c>
      <c r="B25" s="337" t="s">
        <v>57</v>
      </c>
      <c r="C25" s="335">
        <v>241</v>
      </c>
      <c r="D25" s="325">
        <v>33491</v>
      </c>
      <c r="E25" s="325">
        <v>30685</v>
      </c>
      <c r="F25" s="325">
        <v>33965</v>
      </c>
      <c r="G25" s="304">
        <f t="shared" si="16"/>
        <v>-2806</v>
      </c>
      <c r="H25" s="304">
        <f t="shared" si="16"/>
        <v>3280</v>
      </c>
      <c r="I25" s="306">
        <f t="shared" si="7"/>
        <v>-8.3783703084410739</v>
      </c>
      <c r="J25" s="306">
        <f t="shared" si="7"/>
        <v>10.689261854326219</v>
      </c>
      <c r="K25" s="317">
        <f t="shared" si="8"/>
        <v>53.710207681821828</v>
      </c>
      <c r="L25" s="317">
        <f t="shared" si="8"/>
        <v>38.265846936612249</v>
      </c>
      <c r="M25" s="296">
        <f>(F25/F$6)*M$6</f>
        <v>34.90248062971412</v>
      </c>
      <c r="N25" s="1"/>
      <c r="O25" s="1"/>
    </row>
    <row r="26" spans="1:15">
      <c r="A26" s="47" t="s">
        <v>71</v>
      </c>
      <c r="B26" s="338"/>
      <c r="C26" s="336"/>
      <c r="D26" s="326"/>
      <c r="E26" s="326"/>
      <c r="F26" s="326"/>
      <c r="G26" s="305"/>
      <c r="H26" s="305"/>
      <c r="I26" s="307"/>
      <c r="J26" s="307"/>
      <c r="K26" s="318"/>
      <c r="L26" s="318"/>
      <c r="M26" s="297"/>
      <c r="N26" s="1"/>
      <c r="O26" s="1"/>
    </row>
    <row r="27" spans="1:15">
      <c r="A27" s="48" t="s">
        <v>72</v>
      </c>
      <c r="B27" s="49" t="s">
        <v>84</v>
      </c>
      <c r="C27" s="45">
        <v>242</v>
      </c>
      <c r="D27" s="120">
        <v>0</v>
      </c>
      <c r="E27" s="120">
        <v>0</v>
      </c>
      <c r="F27" s="120">
        <v>0</v>
      </c>
      <c r="G27" s="84">
        <f t="shared" si="16"/>
        <v>0</v>
      </c>
      <c r="H27" s="84">
        <f t="shared" si="16"/>
        <v>0</v>
      </c>
      <c r="I27" s="94" t="e">
        <f t="shared" si="7"/>
        <v>#DIV/0!</v>
      </c>
      <c r="J27" s="94" t="e">
        <f t="shared" si="7"/>
        <v>#DIV/0!</v>
      </c>
      <c r="K27" s="106">
        <f t="shared" si="8"/>
        <v>0</v>
      </c>
      <c r="L27" s="106">
        <f t="shared" si="8"/>
        <v>0</v>
      </c>
      <c r="M27" s="107">
        <f t="shared" si="8"/>
        <v>0</v>
      </c>
      <c r="N27" s="1"/>
      <c r="O27" s="1"/>
    </row>
    <row r="28" spans="1:15" ht="25.5">
      <c r="A28" s="48" t="s">
        <v>73</v>
      </c>
      <c r="B28" s="49" t="s">
        <v>85</v>
      </c>
      <c r="C28" s="45">
        <v>243</v>
      </c>
      <c r="D28" s="120">
        <v>0</v>
      </c>
      <c r="E28" s="120">
        <v>0</v>
      </c>
      <c r="F28" s="120">
        <v>0</v>
      </c>
      <c r="G28" s="84">
        <f t="shared" si="16"/>
        <v>0</v>
      </c>
      <c r="H28" s="84">
        <f t="shared" si="16"/>
        <v>0</v>
      </c>
      <c r="I28" s="94" t="e">
        <f t="shared" si="7"/>
        <v>#DIV/0!</v>
      </c>
      <c r="J28" s="94" t="e">
        <f t="shared" si="7"/>
        <v>#DIV/0!</v>
      </c>
      <c r="K28" s="106">
        <f t="shared" ref="K28:K43" si="17">(D28/D$6)*K$6</f>
        <v>0</v>
      </c>
      <c r="L28" s="106">
        <f t="shared" ref="L28:L43" si="18">(E28/E$6)*L$6</f>
        <v>0</v>
      </c>
      <c r="M28" s="107">
        <f t="shared" ref="M28:M42" si="19">(F28/F$6)*M$6</f>
        <v>0</v>
      </c>
      <c r="N28" s="1"/>
      <c r="O28" s="1"/>
    </row>
    <row r="29" spans="1:15" ht="25.5">
      <c r="A29" s="48" t="s">
        <v>161</v>
      </c>
      <c r="B29" s="49" t="s">
        <v>86</v>
      </c>
      <c r="C29" s="45">
        <v>244</v>
      </c>
      <c r="D29" s="120">
        <v>0</v>
      </c>
      <c r="E29" s="120">
        <v>0</v>
      </c>
      <c r="F29" s="120">
        <v>0</v>
      </c>
      <c r="G29" s="84">
        <f t="shared" ref="G29:G43" si="20">E29-D29</f>
        <v>0</v>
      </c>
      <c r="H29" s="84">
        <f t="shared" ref="H29:H43" si="21">F29-E29</f>
        <v>0</v>
      </c>
      <c r="I29" s="94" t="e">
        <f t="shared" ref="I29:I43" si="22">G29/D29*100</f>
        <v>#DIV/0!</v>
      </c>
      <c r="J29" s="94" t="e">
        <f t="shared" ref="J29:J43" si="23">H29/E29*100</f>
        <v>#DIV/0!</v>
      </c>
      <c r="K29" s="106">
        <f t="shared" si="17"/>
        <v>0</v>
      </c>
      <c r="L29" s="106">
        <f t="shared" si="18"/>
        <v>0</v>
      </c>
      <c r="M29" s="107">
        <f t="shared" si="19"/>
        <v>0</v>
      </c>
      <c r="N29" s="1"/>
      <c r="O29" s="1"/>
    </row>
    <row r="30" spans="1:15">
      <c r="A30" s="48" t="s">
        <v>74</v>
      </c>
      <c r="B30" s="49" t="s">
        <v>87</v>
      </c>
      <c r="C30" s="45">
        <v>245</v>
      </c>
      <c r="D30" s="120">
        <v>0</v>
      </c>
      <c r="E30" s="120">
        <v>0</v>
      </c>
      <c r="F30" s="120">
        <v>0</v>
      </c>
      <c r="G30" s="84">
        <f t="shared" si="20"/>
        <v>0</v>
      </c>
      <c r="H30" s="84">
        <f t="shared" si="21"/>
        <v>0</v>
      </c>
      <c r="I30" s="94" t="e">
        <f t="shared" si="22"/>
        <v>#DIV/0!</v>
      </c>
      <c r="J30" s="94" t="e">
        <f t="shared" si="23"/>
        <v>#DIV/0!</v>
      </c>
      <c r="K30" s="106">
        <f t="shared" si="17"/>
        <v>0</v>
      </c>
      <c r="L30" s="106">
        <f t="shared" si="18"/>
        <v>0</v>
      </c>
      <c r="M30" s="107">
        <f t="shared" si="19"/>
        <v>0</v>
      </c>
      <c r="N30" s="1"/>
      <c r="O30" s="1"/>
    </row>
    <row r="31" spans="1:15">
      <c r="A31" s="48" t="s">
        <v>75</v>
      </c>
      <c r="B31" s="49" t="s">
        <v>88</v>
      </c>
      <c r="C31" s="45">
        <v>246</v>
      </c>
      <c r="D31" s="120">
        <v>0</v>
      </c>
      <c r="E31" s="120">
        <v>0</v>
      </c>
      <c r="F31" s="120">
        <v>0</v>
      </c>
      <c r="G31" s="84">
        <f t="shared" si="20"/>
        <v>0</v>
      </c>
      <c r="H31" s="84">
        <f t="shared" si="21"/>
        <v>0</v>
      </c>
      <c r="I31" s="94" t="e">
        <f t="shared" si="22"/>
        <v>#DIV/0!</v>
      </c>
      <c r="J31" s="94" t="e">
        <f t="shared" si="23"/>
        <v>#DIV/0!</v>
      </c>
      <c r="K31" s="106">
        <f t="shared" si="17"/>
        <v>0</v>
      </c>
      <c r="L31" s="106">
        <f t="shared" si="18"/>
        <v>0</v>
      </c>
      <c r="M31" s="107">
        <f t="shared" si="19"/>
        <v>0</v>
      </c>
      <c r="N31" s="1"/>
      <c r="O31" s="1"/>
    </row>
    <row r="32" spans="1:15">
      <c r="A32" s="43" t="s">
        <v>76</v>
      </c>
      <c r="B32" s="44" t="s">
        <v>89</v>
      </c>
      <c r="C32" s="45">
        <v>250</v>
      </c>
      <c r="D32" s="120">
        <v>0</v>
      </c>
      <c r="E32" s="120">
        <v>0</v>
      </c>
      <c r="F32" s="120">
        <v>0</v>
      </c>
      <c r="G32" s="84">
        <f t="shared" si="20"/>
        <v>0</v>
      </c>
      <c r="H32" s="84">
        <f t="shared" si="21"/>
        <v>0</v>
      </c>
      <c r="I32" s="94" t="e">
        <f t="shared" si="22"/>
        <v>#DIV/0!</v>
      </c>
      <c r="J32" s="94" t="e">
        <f t="shared" si="23"/>
        <v>#DIV/0!</v>
      </c>
      <c r="K32" s="106">
        <f t="shared" si="17"/>
        <v>0</v>
      </c>
      <c r="L32" s="106">
        <f t="shared" si="18"/>
        <v>0</v>
      </c>
      <c r="M32" s="107">
        <f t="shared" si="19"/>
        <v>0</v>
      </c>
      <c r="N32" s="1"/>
      <c r="O32" s="1"/>
    </row>
    <row r="33" spans="1:15">
      <c r="A33" s="42" t="s">
        <v>46</v>
      </c>
      <c r="B33" s="328" t="s">
        <v>90</v>
      </c>
      <c r="C33" s="330">
        <v>251</v>
      </c>
      <c r="D33" s="334">
        <v>0</v>
      </c>
      <c r="E33" s="334">
        <v>0</v>
      </c>
      <c r="F33" s="334">
        <v>0</v>
      </c>
      <c r="G33" s="304">
        <f t="shared" si="20"/>
        <v>0</v>
      </c>
      <c r="H33" s="304">
        <f t="shared" si="21"/>
        <v>0</v>
      </c>
      <c r="I33" s="306" t="e">
        <f t="shared" si="22"/>
        <v>#DIV/0!</v>
      </c>
      <c r="J33" s="306" t="e">
        <f t="shared" si="23"/>
        <v>#DIV/0!</v>
      </c>
      <c r="K33" s="317">
        <f t="shared" si="17"/>
        <v>0</v>
      </c>
      <c r="L33" s="317">
        <f t="shared" si="18"/>
        <v>0</v>
      </c>
      <c r="M33" s="296">
        <f t="shared" si="19"/>
        <v>0</v>
      </c>
      <c r="N33" s="1"/>
      <c r="O33" s="1"/>
    </row>
    <row r="34" spans="1:15" ht="30.75" customHeight="1">
      <c r="A34" s="36" t="s">
        <v>77</v>
      </c>
      <c r="B34" s="329"/>
      <c r="C34" s="331"/>
      <c r="D34" s="334"/>
      <c r="E34" s="334"/>
      <c r="F34" s="334"/>
      <c r="G34" s="305"/>
      <c r="H34" s="305"/>
      <c r="I34" s="307"/>
      <c r="J34" s="307"/>
      <c r="K34" s="318"/>
      <c r="L34" s="318"/>
      <c r="M34" s="297"/>
      <c r="N34" s="1"/>
      <c r="O34" s="1"/>
    </row>
    <row r="35" spans="1:15" ht="25.5">
      <c r="A35" s="36" t="s">
        <v>78</v>
      </c>
      <c r="B35" s="65" t="s">
        <v>91</v>
      </c>
      <c r="C35" s="64">
        <v>252</v>
      </c>
      <c r="D35" s="120">
        <v>0</v>
      </c>
      <c r="E35" s="120">
        <v>0</v>
      </c>
      <c r="F35" s="120">
        <v>0</v>
      </c>
      <c r="G35" s="84">
        <f t="shared" si="20"/>
        <v>0</v>
      </c>
      <c r="H35" s="84">
        <f t="shared" si="21"/>
        <v>0</v>
      </c>
      <c r="I35" s="94" t="e">
        <f t="shared" si="22"/>
        <v>#DIV/0!</v>
      </c>
      <c r="J35" s="94" t="e">
        <f t="shared" si="23"/>
        <v>#DIV/0!</v>
      </c>
      <c r="K35" s="106">
        <f t="shared" si="17"/>
        <v>0</v>
      </c>
      <c r="L35" s="106">
        <f t="shared" si="18"/>
        <v>0</v>
      </c>
      <c r="M35" s="107">
        <f t="shared" si="19"/>
        <v>0</v>
      </c>
      <c r="N35" s="1"/>
      <c r="O35" s="1"/>
    </row>
    <row r="36" spans="1:15" ht="25.5">
      <c r="A36" s="36" t="s">
        <v>79</v>
      </c>
      <c r="B36" s="65" t="s">
        <v>92</v>
      </c>
      <c r="C36" s="64">
        <v>253</v>
      </c>
      <c r="D36" s="120">
        <v>0</v>
      </c>
      <c r="E36" s="120">
        <v>0</v>
      </c>
      <c r="F36" s="120">
        <v>0</v>
      </c>
      <c r="G36" s="84">
        <f t="shared" si="20"/>
        <v>0</v>
      </c>
      <c r="H36" s="84">
        <f t="shared" si="21"/>
        <v>0</v>
      </c>
      <c r="I36" s="94" t="e">
        <f t="shared" si="22"/>
        <v>#DIV/0!</v>
      </c>
      <c r="J36" s="94" t="e">
        <f t="shared" si="23"/>
        <v>#DIV/0!</v>
      </c>
      <c r="K36" s="106">
        <f t="shared" si="17"/>
        <v>0</v>
      </c>
      <c r="L36" s="106">
        <f t="shared" si="18"/>
        <v>0</v>
      </c>
      <c r="M36" s="107">
        <f t="shared" si="19"/>
        <v>0</v>
      </c>
      <c r="N36" s="1"/>
      <c r="O36" s="1"/>
    </row>
    <row r="37" spans="1:15">
      <c r="A37" s="40" t="s">
        <v>21</v>
      </c>
      <c r="B37" s="41" t="s">
        <v>93</v>
      </c>
      <c r="C37" s="67">
        <v>260</v>
      </c>
      <c r="D37" s="120">
        <v>247</v>
      </c>
      <c r="E37" s="120">
        <v>3299</v>
      </c>
      <c r="F37" s="120">
        <v>3314</v>
      </c>
      <c r="G37" s="84">
        <f t="shared" si="20"/>
        <v>3052</v>
      </c>
      <c r="H37" s="84">
        <f t="shared" si="21"/>
        <v>15</v>
      </c>
      <c r="I37" s="94">
        <f t="shared" si="22"/>
        <v>1235.6275303643724</v>
      </c>
      <c r="J37" s="94">
        <f t="shared" si="23"/>
        <v>0.45468323734464994</v>
      </c>
      <c r="K37" s="106">
        <f t="shared" si="17"/>
        <v>0.39611899607088447</v>
      </c>
      <c r="L37" s="106">
        <f t="shared" si="18"/>
        <v>4.1140306027011189</v>
      </c>
      <c r="M37" s="107">
        <f t="shared" si="19"/>
        <v>3.4054709497091893</v>
      </c>
      <c r="N37" s="1"/>
      <c r="O37" s="1"/>
    </row>
    <row r="38" spans="1:15">
      <c r="A38" s="42" t="s">
        <v>160</v>
      </c>
      <c r="B38" s="328" t="s">
        <v>94</v>
      </c>
      <c r="C38" s="330">
        <v>261</v>
      </c>
      <c r="D38" s="334">
        <v>0</v>
      </c>
      <c r="E38" s="334">
        <v>0</v>
      </c>
      <c r="F38" s="334">
        <v>0</v>
      </c>
      <c r="G38" s="304">
        <f t="shared" si="20"/>
        <v>0</v>
      </c>
      <c r="H38" s="304">
        <f t="shared" si="21"/>
        <v>0</v>
      </c>
      <c r="I38" s="306" t="e">
        <f t="shared" si="22"/>
        <v>#DIV/0!</v>
      </c>
      <c r="J38" s="306" t="e">
        <f>H38/E38*100</f>
        <v>#DIV/0!</v>
      </c>
      <c r="K38" s="317">
        <f t="shared" si="17"/>
        <v>0</v>
      </c>
      <c r="L38" s="317">
        <f t="shared" si="18"/>
        <v>0</v>
      </c>
      <c r="M38" s="296">
        <f t="shared" si="19"/>
        <v>0</v>
      </c>
      <c r="N38" s="1"/>
      <c r="O38" s="1"/>
    </row>
    <row r="39" spans="1:15">
      <c r="A39" s="36" t="s">
        <v>80</v>
      </c>
      <c r="B39" s="329"/>
      <c r="C39" s="331"/>
      <c r="D39" s="334"/>
      <c r="E39" s="334"/>
      <c r="F39" s="334"/>
      <c r="G39" s="305"/>
      <c r="H39" s="305"/>
      <c r="I39" s="307"/>
      <c r="J39" s="307"/>
      <c r="K39" s="318"/>
      <c r="L39" s="318"/>
      <c r="M39" s="297"/>
      <c r="N39" s="1"/>
      <c r="O39" s="1"/>
    </row>
    <row r="40" spans="1:15">
      <c r="A40" s="36" t="s">
        <v>81</v>
      </c>
      <c r="B40" s="65" t="s">
        <v>95</v>
      </c>
      <c r="C40" s="64">
        <v>262</v>
      </c>
      <c r="D40" s="120">
        <v>0</v>
      </c>
      <c r="E40" s="120">
        <v>0</v>
      </c>
      <c r="F40" s="120">
        <v>0</v>
      </c>
      <c r="G40" s="84">
        <f t="shared" si="20"/>
        <v>0</v>
      </c>
      <c r="H40" s="84">
        <f t="shared" si="21"/>
        <v>0</v>
      </c>
      <c r="I40" s="94" t="e">
        <f t="shared" si="22"/>
        <v>#DIV/0!</v>
      </c>
      <c r="J40" s="94" t="e">
        <f>H40/E40*100</f>
        <v>#DIV/0!</v>
      </c>
      <c r="K40" s="106">
        <f t="shared" si="17"/>
        <v>0</v>
      </c>
      <c r="L40" s="106">
        <f t="shared" si="18"/>
        <v>0</v>
      </c>
      <c r="M40" s="107">
        <f t="shared" si="19"/>
        <v>0</v>
      </c>
      <c r="N40" s="1"/>
      <c r="O40" s="1"/>
    </row>
    <row r="41" spans="1:15">
      <c r="A41" s="37" t="s">
        <v>82</v>
      </c>
      <c r="B41" s="66" t="s">
        <v>96</v>
      </c>
      <c r="C41" s="67">
        <v>263</v>
      </c>
      <c r="D41" s="120">
        <v>0</v>
      </c>
      <c r="E41" s="120">
        <v>0</v>
      </c>
      <c r="F41" s="120">
        <v>0</v>
      </c>
      <c r="G41" s="84">
        <f t="shared" si="20"/>
        <v>0</v>
      </c>
      <c r="H41" s="84">
        <f t="shared" si="21"/>
        <v>0</v>
      </c>
      <c r="I41" s="94" t="e">
        <f t="shared" si="22"/>
        <v>#DIV/0!</v>
      </c>
      <c r="J41" s="94" t="e">
        <f t="shared" si="23"/>
        <v>#DIV/0!</v>
      </c>
      <c r="K41" s="106">
        <f t="shared" si="17"/>
        <v>0</v>
      </c>
      <c r="L41" s="106">
        <f t="shared" si="18"/>
        <v>0</v>
      </c>
      <c r="M41" s="107">
        <f t="shared" si="19"/>
        <v>0</v>
      </c>
      <c r="N41" s="1"/>
      <c r="O41" s="1"/>
    </row>
    <row r="42" spans="1:15">
      <c r="A42" s="37" t="s">
        <v>83</v>
      </c>
      <c r="B42" s="65" t="s">
        <v>97</v>
      </c>
      <c r="C42" s="67">
        <v>264</v>
      </c>
      <c r="D42" s="120">
        <v>0</v>
      </c>
      <c r="E42" s="120">
        <v>0</v>
      </c>
      <c r="F42" s="120">
        <v>0</v>
      </c>
      <c r="G42" s="84">
        <f t="shared" si="20"/>
        <v>0</v>
      </c>
      <c r="H42" s="84">
        <f t="shared" si="21"/>
        <v>0</v>
      </c>
      <c r="I42" s="94" t="e">
        <f t="shared" si="22"/>
        <v>#DIV/0!</v>
      </c>
      <c r="J42" s="94" t="e">
        <f t="shared" si="23"/>
        <v>#DIV/0!</v>
      </c>
      <c r="K42" s="106">
        <f t="shared" si="17"/>
        <v>0</v>
      </c>
      <c r="L42" s="106">
        <f t="shared" si="18"/>
        <v>0</v>
      </c>
      <c r="M42" s="107">
        <f t="shared" si="19"/>
        <v>0</v>
      </c>
      <c r="N42" s="1"/>
      <c r="O42" s="1"/>
    </row>
    <row r="43" spans="1:15" ht="15.75" thickBot="1">
      <c r="A43" s="50" t="s">
        <v>22</v>
      </c>
      <c r="B43" s="32" t="s">
        <v>98</v>
      </c>
      <c r="C43" s="33">
        <v>270</v>
      </c>
      <c r="D43" s="123">
        <v>2142</v>
      </c>
      <c r="E43" s="123">
        <v>3410</v>
      </c>
      <c r="F43" s="123">
        <v>1853</v>
      </c>
      <c r="G43" s="91">
        <f t="shared" si="20"/>
        <v>1268</v>
      </c>
      <c r="H43" s="91">
        <f t="shared" si="21"/>
        <v>-1557</v>
      </c>
      <c r="I43" s="95">
        <f t="shared" si="22"/>
        <v>59.197012138188612</v>
      </c>
      <c r="J43" s="95">
        <f t="shared" si="23"/>
        <v>-45.659824046920825</v>
      </c>
      <c r="K43" s="108">
        <f t="shared" si="17"/>
        <v>3.4351695934568194</v>
      </c>
      <c r="L43" s="108">
        <f t="shared" si="18"/>
        <v>4.2524535784209805</v>
      </c>
      <c r="M43" s="109">
        <f>(F43/F$6)*M$6</f>
        <v>1.9041453439381795</v>
      </c>
      <c r="N43" s="1"/>
      <c r="O43" s="1"/>
    </row>
    <row r="44" spans="1:15">
      <c r="A44" s="3"/>
      <c r="N44" s="1"/>
      <c r="O44" s="1"/>
    </row>
  </sheetData>
  <mergeCells count="68">
    <mergeCell ref="A1:M1"/>
    <mergeCell ref="I33:I34"/>
    <mergeCell ref="I38:I39"/>
    <mergeCell ref="C38:C39"/>
    <mergeCell ref="D38:D39"/>
    <mergeCell ref="E38:E39"/>
    <mergeCell ref="F38:F39"/>
    <mergeCell ref="G38:G39"/>
    <mergeCell ref="H38:H39"/>
    <mergeCell ref="G25:G26"/>
    <mergeCell ref="H25:H26"/>
    <mergeCell ref="B33:B34"/>
    <mergeCell ref="C33:C34"/>
    <mergeCell ref="D33:D34"/>
    <mergeCell ref="E33:E34"/>
    <mergeCell ref="F33:F34"/>
    <mergeCell ref="G33:G34"/>
    <mergeCell ref="H33:H34"/>
    <mergeCell ref="B38:B39"/>
    <mergeCell ref="C25:C26"/>
    <mergeCell ref="D25:D26"/>
    <mergeCell ref="E25:E26"/>
    <mergeCell ref="F25:F26"/>
    <mergeCell ref="B25:B26"/>
    <mergeCell ref="D8:D9"/>
    <mergeCell ref="E8:E9"/>
    <mergeCell ref="F8:F9"/>
    <mergeCell ref="B18:B19"/>
    <mergeCell ref="C18:C19"/>
    <mergeCell ref="D18:D19"/>
    <mergeCell ref="E18:E19"/>
    <mergeCell ref="F18:F19"/>
    <mergeCell ref="I25:I26"/>
    <mergeCell ref="G8:G9"/>
    <mergeCell ref="H8:H9"/>
    <mergeCell ref="I8:I9"/>
    <mergeCell ref="A3:A4"/>
    <mergeCell ref="B3:B4"/>
    <mergeCell ref="C3:C4"/>
    <mergeCell ref="D3:F3"/>
    <mergeCell ref="G3:H3"/>
    <mergeCell ref="I3:J3"/>
    <mergeCell ref="J18:J19"/>
    <mergeCell ref="G18:G19"/>
    <mergeCell ref="H18:H19"/>
    <mergeCell ref="I18:I19"/>
    <mergeCell ref="B8:B9"/>
    <mergeCell ref="C8:C9"/>
    <mergeCell ref="K18:K19"/>
    <mergeCell ref="L18:L19"/>
    <mergeCell ref="M18:M19"/>
    <mergeCell ref="K3:M3"/>
    <mergeCell ref="J8:J9"/>
    <mergeCell ref="K8:K9"/>
    <mergeCell ref="L8:L9"/>
    <mergeCell ref="M8:M9"/>
    <mergeCell ref="J38:J39"/>
    <mergeCell ref="K38:K39"/>
    <mergeCell ref="L38:L39"/>
    <mergeCell ref="M38:M39"/>
    <mergeCell ref="J25:J26"/>
    <mergeCell ref="K25:K26"/>
    <mergeCell ref="L25:L26"/>
    <mergeCell ref="M25:M26"/>
    <mergeCell ref="J33:J34"/>
    <mergeCell ref="K33:K34"/>
    <mergeCell ref="L33:L34"/>
    <mergeCell ref="M33:M34"/>
  </mergeCells>
  <pageMargins left="0.7" right="0.7" top="0.75" bottom="0.75" header="0.3" footer="0.3"/>
  <ignoredErrors>
    <ignoredError sqref="B6:B4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M17"/>
  <sheetViews>
    <sheetView workbookViewId="0">
      <selection sqref="A1:M1"/>
    </sheetView>
  </sheetViews>
  <sheetFormatPr defaultRowHeight="15"/>
  <cols>
    <col min="1" max="1" width="38" customWidth="1"/>
    <col min="2" max="2" width="13.85546875" bestFit="1" customWidth="1"/>
    <col min="3" max="3" width="9.28515625" customWidth="1"/>
  </cols>
  <sheetData>
    <row r="1" spans="1:13" ht="18.75">
      <c r="A1" s="339" t="s">
        <v>346</v>
      </c>
      <c r="B1" s="339"/>
      <c r="C1" s="339"/>
      <c r="D1" s="339"/>
      <c r="E1" s="339"/>
      <c r="F1" s="339"/>
      <c r="G1" s="339"/>
      <c r="H1" s="339"/>
      <c r="I1" s="339"/>
      <c r="J1" s="339"/>
      <c r="K1" s="339"/>
      <c r="L1" s="339"/>
      <c r="M1" s="339"/>
    </row>
    <row r="2" spans="1:13" ht="30.75" customHeight="1" thickBot="1">
      <c r="A2" s="316" t="s">
        <v>103</v>
      </c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</row>
    <row r="3" spans="1:13" ht="32.25" customHeight="1">
      <c r="A3" s="311" t="s">
        <v>0</v>
      </c>
      <c r="B3" s="313" t="s">
        <v>1</v>
      </c>
      <c r="C3" s="313" t="s">
        <v>2</v>
      </c>
      <c r="D3" s="327" t="s">
        <v>3</v>
      </c>
      <c r="E3" s="327"/>
      <c r="F3" s="327"/>
      <c r="G3" s="319" t="s">
        <v>4</v>
      </c>
      <c r="H3" s="320"/>
      <c r="I3" s="294" t="s">
        <v>5</v>
      </c>
      <c r="J3" s="295"/>
      <c r="K3" s="321" t="s">
        <v>6</v>
      </c>
      <c r="L3" s="322"/>
      <c r="M3" s="323"/>
    </row>
    <row r="4" spans="1:13" ht="36.75" customHeight="1" thickBot="1">
      <c r="A4" s="312"/>
      <c r="B4" s="314"/>
      <c r="C4" s="314"/>
      <c r="D4" s="117">
        <v>2007</v>
      </c>
      <c r="E4" s="117">
        <v>2008</v>
      </c>
      <c r="F4" s="117">
        <v>2009</v>
      </c>
      <c r="G4" s="81" t="s">
        <v>101</v>
      </c>
      <c r="H4" s="81" t="s">
        <v>102</v>
      </c>
      <c r="I4" s="85" t="s">
        <v>101</v>
      </c>
      <c r="J4" s="85" t="s">
        <v>102</v>
      </c>
      <c r="K4" s="97">
        <v>2007</v>
      </c>
      <c r="L4" s="98">
        <v>2008</v>
      </c>
      <c r="M4" s="99">
        <v>2009</v>
      </c>
    </row>
    <row r="5" spans="1:13" ht="15.75" thickBot="1">
      <c r="A5" s="22">
        <v>1</v>
      </c>
      <c r="B5" s="23">
        <v>2</v>
      </c>
      <c r="C5" s="23">
        <v>3</v>
      </c>
      <c r="D5" s="118">
        <v>4</v>
      </c>
      <c r="E5" s="118">
        <v>5</v>
      </c>
      <c r="F5" s="118">
        <v>6</v>
      </c>
      <c r="G5" s="114">
        <v>7</v>
      </c>
      <c r="H5" s="114">
        <v>8</v>
      </c>
      <c r="I5" s="111">
        <v>9</v>
      </c>
      <c r="J5" s="111">
        <v>10</v>
      </c>
      <c r="K5" s="110">
        <v>11</v>
      </c>
      <c r="L5" s="110">
        <v>12</v>
      </c>
      <c r="M5" s="129">
        <v>13</v>
      </c>
    </row>
    <row r="6" spans="1:13">
      <c r="A6" s="51" t="s">
        <v>164</v>
      </c>
      <c r="B6" s="52" t="s">
        <v>23</v>
      </c>
      <c r="C6" s="62">
        <v>700</v>
      </c>
      <c r="D6" s="119">
        <v>70172</v>
      </c>
      <c r="E6" s="119">
        <v>87628</v>
      </c>
      <c r="F6" s="119">
        <v>103419</v>
      </c>
      <c r="G6" s="83">
        <f>E6-D6</f>
        <v>17456</v>
      </c>
      <c r="H6" s="83">
        <f>F6-E6</f>
        <v>15791</v>
      </c>
      <c r="I6" s="93">
        <f>G6/D6*100</f>
        <v>24.876018924927319</v>
      </c>
      <c r="J6" s="93">
        <f>H6/E6*100</f>
        <v>18.020495731957823</v>
      </c>
      <c r="K6" s="103">
        <v>100</v>
      </c>
      <c r="L6" s="104">
        <v>100</v>
      </c>
      <c r="M6" s="105">
        <v>100</v>
      </c>
    </row>
    <row r="7" spans="1:13" ht="25.5">
      <c r="A7" s="53" t="s">
        <v>165</v>
      </c>
      <c r="B7" s="66" t="s">
        <v>24</v>
      </c>
      <c r="C7" s="67">
        <v>490</v>
      </c>
      <c r="D7" s="120">
        <v>56040</v>
      </c>
      <c r="E7" s="120">
        <v>67201</v>
      </c>
      <c r="F7" s="120">
        <v>84081</v>
      </c>
      <c r="G7" s="84">
        <f>E7-D7</f>
        <v>11161</v>
      </c>
      <c r="H7" s="84">
        <f>F7-E7</f>
        <v>16880</v>
      </c>
      <c r="I7" s="94">
        <f>G7/D7*100</f>
        <v>19.916131334760884</v>
      </c>
      <c r="J7" s="94">
        <f>H7/E7*100</f>
        <v>25.118673829258491</v>
      </c>
      <c r="K7" s="106">
        <f>(D7/D$6)*K$6</f>
        <v>79.860913184746053</v>
      </c>
      <c r="L7" s="106">
        <f>(E7/E$6)*L$6</f>
        <v>76.688957867348336</v>
      </c>
      <c r="M7" s="107">
        <f>(F7/F$6)*M$6</f>
        <v>81.301308270240483</v>
      </c>
    </row>
    <row r="8" spans="1:13" ht="30">
      <c r="A8" s="54" t="s">
        <v>107</v>
      </c>
      <c r="B8" s="66" t="s">
        <v>25</v>
      </c>
      <c r="C8" s="67" t="s">
        <v>109</v>
      </c>
      <c r="D8" s="120">
        <f>0+0+0-0</f>
        <v>0</v>
      </c>
      <c r="E8" s="120">
        <v>0</v>
      </c>
      <c r="F8" s="120">
        <v>0</v>
      </c>
      <c r="G8" s="84">
        <f t="shared" ref="G8:G9" si="0">E8-D8</f>
        <v>0</v>
      </c>
      <c r="H8" s="84">
        <f t="shared" ref="H8:H9" si="1">F8-E8</f>
        <v>0</v>
      </c>
      <c r="I8" s="94" t="e">
        <f t="shared" ref="I8:I9" si="2">G8/D8*100</f>
        <v>#DIV/0!</v>
      </c>
      <c r="J8" s="94" t="e">
        <f t="shared" ref="J8:J9" si="3">H8/E8*100</f>
        <v>#DIV/0!</v>
      </c>
      <c r="K8" s="106">
        <f t="shared" ref="K8:K9" si="4">(D8/D$6)*K$6</f>
        <v>0</v>
      </c>
      <c r="L8" s="106">
        <f t="shared" ref="L8:L9" si="5">(E8/E$6)*L$6</f>
        <v>0</v>
      </c>
      <c r="M8" s="107">
        <f t="shared" ref="M8:M9" si="6">(F8/F$6)*M$6</f>
        <v>0</v>
      </c>
    </row>
    <row r="9" spans="1:13">
      <c r="A9" s="53" t="s">
        <v>104</v>
      </c>
      <c r="B9" s="66" t="s">
        <v>26</v>
      </c>
      <c r="C9" s="67" t="s">
        <v>110</v>
      </c>
      <c r="D9" s="120">
        <f>0+14133</f>
        <v>14133</v>
      </c>
      <c r="E9" s="120">
        <f>0+20427</f>
        <v>20427</v>
      </c>
      <c r="F9" s="120">
        <f>0+19338</f>
        <v>19338</v>
      </c>
      <c r="G9" s="84">
        <f t="shared" si="0"/>
        <v>6294</v>
      </c>
      <c r="H9" s="84">
        <f t="shared" si="1"/>
        <v>-1089</v>
      </c>
      <c r="I9" s="94">
        <f t="shared" si="2"/>
        <v>44.534069199745282</v>
      </c>
      <c r="J9" s="94">
        <f t="shared" si="3"/>
        <v>-5.3311793214862675</v>
      </c>
      <c r="K9" s="106">
        <f t="shared" si="4"/>
        <v>20.140511885082368</v>
      </c>
      <c r="L9" s="106">
        <f t="shared" si="5"/>
        <v>23.311042132651664</v>
      </c>
      <c r="M9" s="107">
        <f t="shared" si="6"/>
        <v>18.698691729759524</v>
      </c>
    </row>
    <row r="10" spans="1:13">
      <c r="A10" s="54" t="s">
        <v>108</v>
      </c>
      <c r="B10" s="66" t="s">
        <v>27</v>
      </c>
      <c r="C10" s="67">
        <v>620</v>
      </c>
      <c r="D10" s="120">
        <v>9593</v>
      </c>
      <c r="E10" s="120">
        <v>20427</v>
      </c>
      <c r="F10" s="120">
        <v>19338</v>
      </c>
      <c r="G10" s="84">
        <f t="shared" ref="G10:H12" si="7">E10-D10</f>
        <v>10834</v>
      </c>
      <c r="H10" s="84">
        <f t="shared" si="7"/>
        <v>-1089</v>
      </c>
      <c r="I10" s="94">
        <f t="shared" ref="I10:I11" si="8">G10/D10*100</f>
        <v>112.93651620973625</v>
      </c>
      <c r="J10" s="94">
        <f t="shared" ref="J10:J12" si="9">H10/E10*100</f>
        <v>-5.3311793214862675</v>
      </c>
      <c r="K10" s="106">
        <f>(D10/$D6)*$K6</f>
        <v>13.670694864048338</v>
      </c>
      <c r="L10" s="106">
        <f>(E10/$E6)*$L6</f>
        <v>23.311042132651664</v>
      </c>
      <c r="M10" s="107">
        <f>(F10/$F6)*$M6</f>
        <v>18.698691729759524</v>
      </c>
    </row>
    <row r="11" spans="1:13" ht="30">
      <c r="A11" s="53" t="s">
        <v>105</v>
      </c>
      <c r="B11" s="66" t="s">
        <v>28</v>
      </c>
      <c r="C11" s="67" t="s">
        <v>111</v>
      </c>
      <c r="D11" s="120">
        <f>7817-0-0</f>
        <v>7817</v>
      </c>
      <c r="E11" s="120">
        <v>7439</v>
      </c>
      <c r="F11" s="120">
        <v>6105</v>
      </c>
      <c r="G11" s="84">
        <f t="shared" si="7"/>
        <v>-378</v>
      </c>
      <c r="H11" s="84">
        <f t="shared" si="7"/>
        <v>-1334</v>
      </c>
      <c r="I11" s="94">
        <f t="shared" si="8"/>
        <v>-4.8356146859408975</v>
      </c>
      <c r="J11" s="94">
        <f t="shared" si="9"/>
        <v>-17.932517811533806</v>
      </c>
      <c r="K11" s="106">
        <f>(D11/$D6)*$K6</f>
        <v>11.139770848771589</v>
      </c>
      <c r="L11" s="106">
        <f>(E11/E$6)*L$6</f>
        <v>8.4892956589218063</v>
      </c>
      <c r="M11" s="107">
        <f>(F11/$F6)*$M6</f>
        <v>5.90317059727903</v>
      </c>
    </row>
    <row r="12" spans="1:13" ht="26.25" thickBot="1">
      <c r="A12" s="55" t="s">
        <v>106</v>
      </c>
      <c r="B12" s="32" t="s">
        <v>29</v>
      </c>
      <c r="C12" s="33" t="s">
        <v>100</v>
      </c>
      <c r="D12" s="188">
        <f>D7-D8-D11</f>
        <v>48223</v>
      </c>
      <c r="E12" s="188">
        <f>E7-E8-E11</f>
        <v>59762</v>
      </c>
      <c r="F12" s="188">
        <f>F7-F8-F11</f>
        <v>77976</v>
      </c>
      <c r="G12" s="91">
        <f t="shared" si="7"/>
        <v>11539</v>
      </c>
      <c r="H12" s="91">
        <f t="shared" si="7"/>
        <v>18214</v>
      </c>
      <c r="I12" s="95">
        <f>G12/D12*100</f>
        <v>23.928415901126019</v>
      </c>
      <c r="J12" s="95">
        <f t="shared" si="9"/>
        <v>30.477560991934677</v>
      </c>
      <c r="K12" s="108">
        <f>(D12/D$6)*K$6</f>
        <v>68.721142335974463</v>
      </c>
      <c r="L12" s="108">
        <f>(E12/E$6)*L$6</f>
        <v>68.199662208426531</v>
      </c>
      <c r="M12" s="109">
        <f>(F12/F$6)*M$6</f>
        <v>75.398137672961454</v>
      </c>
    </row>
    <row r="13" spans="1:13">
      <c r="D13" s="131"/>
      <c r="E13" s="131"/>
      <c r="F13" s="131"/>
      <c r="G13" s="132"/>
      <c r="H13" s="132"/>
      <c r="I13" s="133"/>
      <c r="J13" s="133"/>
      <c r="K13" s="133"/>
      <c r="L13" s="133"/>
      <c r="M13" s="133"/>
    </row>
    <row r="14" spans="1:13">
      <c r="D14" s="131"/>
      <c r="E14" s="131"/>
      <c r="F14" s="131"/>
      <c r="G14" s="132"/>
      <c r="H14" s="132"/>
      <c r="I14" s="133"/>
      <c r="J14" s="133"/>
      <c r="K14" s="133"/>
      <c r="L14" s="133"/>
      <c r="M14" s="133"/>
    </row>
    <row r="15" spans="1:13">
      <c r="D15" s="131"/>
      <c r="E15" s="131"/>
      <c r="F15" s="131"/>
      <c r="G15" s="132"/>
      <c r="H15" s="132"/>
      <c r="I15" s="133"/>
      <c r="J15" s="133"/>
      <c r="K15" s="133"/>
      <c r="L15" s="133"/>
      <c r="M15" s="133"/>
    </row>
    <row r="16" spans="1:13">
      <c r="D16" s="131"/>
      <c r="E16" s="131"/>
      <c r="F16" s="131"/>
      <c r="G16" s="132"/>
      <c r="H16" s="132"/>
      <c r="I16" s="133"/>
      <c r="J16" s="133"/>
      <c r="K16" s="133"/>
      <c r="L16" s="133"/>
      <c r="M16" s="133"/>
    </row>
    <row r="17" spans="4:13">
      <c r="D17" s="131"/>
      <c r="E17" s="131"/>
      <c r="F17" s="131"/>
      <c r="G17" s="132"/>
      <c r="H17" s="132"/>
      <c r="I17" s="133"/>
      <c r="J17" s="133"/>
      <c r="K17" s="133"/>
      <c r="L17" s="133"/>
      <c r="M17" s="133"/>
    </row>
  </sheetData>
  <mergeCells count="9">
    <mergeCell ref="A1:M1"/>
    <mergeCell ref="A2:M2"/>
    <mergeCell ref="K3:M3"/>
    <mergeCell ref="A3:A4"/>
    <mergeCell ref="B3:B4"/>
    <mergeCell ref="C3:C4"/>
    <mergeCell ref="D3:F3"/>
    <mergeCell ref="G3:H3"/>
    <mergeCell ref="I3:J3"/>
  </mergeCells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18"/>
  <sheetViews>
    <sheetView topLeftCell="A11" zoomScale="90" zoomScaleNormal="90" workbookViewId="0">
      <selection activeCell="H27" sqref="H27"/>
    </sheetView>
  </sheetViews>
  <sheetFormatPr defaultRowHeight="15"/>
  <cols>
    <col min="1" max="1" width="38" customWidth="1"/>
    <col min="2" max="2" width="10" customWidth="1"/>
    <col min="3" max="3" width="11.85546875" customWidth="1"/>
    <col min="7" max="7" width="11.140625" customWidth="1"/>
    <col min="8" max="8" width="11.42578125" customWidth="1"/>
  </cols>
  <sheetData>
    <row r="1" spans="1:8" ht="30.75" customHeight="1">
      <c r="A1" s="316" t="s">
        <v>284</v>
      </c>
      <c r="B1" s="316"/>
      <c r="C1" s="316"/>
      <c r="D1" s="316"/>
      <c r="E1" s="316"/>
      <c r="F1" s="316"/>
      <c r="G1" s="316"/>
      <c r="H1" s="316"/>
    </row>
    <row r="2" spans="1:8" ht="15.75" thickBot="1">
      <c r="A2" s="5"/>
      <c r="B2" s="5"/>
      <c r="C2" s="5"/>
      <c r="D2" s="5"/>
      <c r="E2" s="5"/>
      <c r="F2" s="5"/>
      <c r="G2" s="5"/>
      <c r="H2" s="5"/>
    </row>
    <row r="3" spans="1:8" ht="30" customHeight="1">
      <c r="A3" s="311" t="s">
        <v>0</v>
      </c>
      <c r="B3" s="313" t="s">
        <v>1</v>
      </c>
      <c r="C3" s="313" t="s">
        <v>2</v>
      </c>
      <c r="D3" s="327" t="s">
        <v>158</v>
      </c>
      <c r="E3" s="327"/>
      <c r="F3" s="327"/>
      <c r="G3" s="340" t="s">
        <v>112</v>
      </c>
      <c r="H3" s="341"/>
    </row>
    <row r="4" spans="1:8" ht="36.75" customHeight="1" thickBot="1">
      <c r="A4" s="312"/>
      <c r="B4" s="314"/>
      <c r="C4" s="314"/>
      <c r="D4" s="76" t="s">
        <v>343</v>
      </c>
      <c r="E4" s="76" t="s">
        <v>344</v>
      </c>
      <c r="F4" s="76" t="s">
        <v>345</v>
      </c>
      <c r="G4" s="81" t="s">
        <v>101</v>
      </c>
      <c r="H4" s="142" t="s">
        <v>102</v>
      </c>
    </row>
    <row r="5" spans="1:8" ht="15.75" thickBot="1">
      <c r="A5" s="22">
        <v>1</v>
      </c>
      <c r="B5" s="23">
        <v>2</v>
      </c>
      <c r="C5" s="23">
        <v>3</v>
      </c>
      <c r="D5" s="118">
        <v>4</v>
      </c>
      <c r="E5" s="118">
        <v>5</v>
      </c>
      <c r="F5" s="118">
        <v>6</v>
      </c>
      <c r="G5" s="134">
        <v>7</v>
      </c>
      <c r="H5" s="135">
        <v>8</v>
      </c>
    </row>
    <row r="6" spans="1:8" ht="45">
      <c r="A6" s="57" t="s">
        <v>99</v>
      </c>
      <c r="B6" s="65" t="s">
        <v>23</v>
      </c>
      <c r="C6" s="64" t="s">
        <v>283</v>
      </c>
      <c r="D6" s="122">
        <v>48223</v>
      </c>
      <c r="E6" s="122">
        <v>59762</v>
      </c>
      <c r="F6" s="122">
        <v>77976</v>
      </c>
      <c r="G6" s="127">
        <f>E6-D6</f>
        <v>11539</v>
      </c>
      <c r="H6" s="148">
        <f>F6-E6</f>
        <v>18214</v>
      </c>
    </row>
    <row r="7" spans="1:8">
      <c r="A7" s="54" t="s">
        <v>113</v>
      </c>
      <c r="B7" s="66" t="s">
        <v>24</v>
      </c>
      <c r="C7" s="67">
        <v>210</v>
      </c>
      <c r="D7" s="120">
        <v>17398</v>
      </c>
      <c r="E7" s="120">
        <v>26594</v>
      </c>
      <c r="F7" s="120">
        <v>33976</v>
      </c>
      <c r="G7" s="84">
        <f>E7-D7</f>
        <v>9196</v>
      </c>
      <c r="H7" s="147">
        <f>F7-E7</f>
        <v>7382</v>
      </c>
    </row>
    <row r="8" spans="1:8" ht="25.5">
      <c r="A8" s="54" t="s">
        <v>114</v>
      </c>
      <c r="B8" s="66" t="s">
        <v>25</v>
      </c>
      <c r="C8" s="67">
        <v>241</v>
      </c>
      <c r="D8" s="120">
        <v>33491</v>
      </c>
      <c r="E8" s="120">
        <v>30685</v>
      </c>
      <c r="F8" s="120">
        <v>33965</v>
      </c>
      <c r="G8" s="84">
        <f t="shared" ref="G8:G16" si="0">E8-D8</f>
        <v>-2806</v>
      </c>
      <c r="H8" s="147">
        <f t="shared" ref="H8:H15" si="1">F8-E8</f>
        <v>3280</v>
      </c>
    </row>
    <row r="9" spans="1:8">
      <c r="A9" s="54" t="s">
        <v>115</v>
      </c>
      <c r="B9" s="66" t="s">
        <v>26</v>
      </c>
      <c r="C9" s="67" t="s">
        <v>122</v>
      </c>
      <c r="D9" s="120">
        <v>0</v>
      </c>
      <c r="E9" s="120">
        <v>0</v>
      </c>
      <c r="F9" s="120">
        <v>0</v>
      </c>
      <c r="G9" s="84">
        <f t="shared" si="0"/>
        <v>0</v>
      </c>
      <c r="H9" s="147">
        <f t="shared" si="1"/>
        <v>0</v>
      </c>
    </row>
    <row r="10" spans="1:8" ht="25.5">
      <c r="A10" s="56" t="s">
        <v>116</v>
      </c>
      <c r="B10" s="66" t="s">
        <v>27</v>
      </c>
      <c r="C10" s="67" t="s">
        <v>100</v>
      </c>
      <c r="D10" s="112">
        <f>D7+D8+D9</f>
        <v>50889</v>
      </c>
      <c r="E10" s="112">
        <f>E7+E8+E9</f>
        <v>57279</v>
      </c>
      <c r="F10" s="112">
        <f>F7+F8+F9</f>
        <v>67941</v>
      </c>
      <c r="G10" s="87">
        <f t="shared" si="0"/>
        <v>6390</v>
      </c>
      <c r="H10" s="149">
        <f t="shared" si="1"/>
        <v>10662</v>
      </c>
    </row>
    <row r="11" spans="1:8" ht="25.5">
      <c r="A11" s="54" t="s">
        <v>117</v>
      </c>
      <c r="B11" s="66" t="s">
        <v>28</v>
      </c>
      <c r="C11" s="67" t="s">
        <v>123</v>
      </c>
      <c r="D11" s="120">
        <v>0</v>
      </c>
      <c r="E11" s="120">
        <v>0</v>
      </c>
      <c r="F11" s="120">
        <v>0</v>
      </c>
      <c r="G11" s="84">
        <f t="shared" si="0"/>
        <v>0</v>
      </c>
      <c r="H11" s="147">
        <f t="shared" si="1"/>
        <v>0</v>
      </c>
    </row>
    <row r="12" spans="1:8" ht="25.5">
      <c r="A12" s="54" t="s">
        <v>118</v>
      </c>
      <c r="B12" s="66" t="s">
        <v>29</v>
      </c>
      <c r="C12" s="67">
        <v>621</v>
      </c>
      <c r="D12" s="120">
        <v>3384</v>
      </c>
      <c r="E12" s="120">
        <v>12018</v>
      </c>
      <c r="F12" s="120">
        <v>10101</v>
      </c>
      <c r="G12" s="84">
        <f t="shared" si="0"/>
        <v>8634</v>
      </c>
      <c r="H12" s="147">
        <f t="shared" si="1"/>
        <v>-1917</v>
      </c>
    </row>
    <row r="13" spans="1:8" ht="25.5">
      <c r="A13" s="54" t="s">
        <v>119</v>
      </c>
      <c r="B13" s="66" t="s">
        <v>30</v>
      </c>
      <c r="C13" s="67">
        <v>627</v>
      </c>
      <c r="D13" s="120">
        <v>0</v>
      </c>
      <c r="E13" s="120">
        <v>0</v>
      </c>
      <c r="F13" s="120">
        <v>0</v>
      </c>
      <c r="G13" s="84">
        <f t="shared" si="0"/>
        <v>0</v>
      </c>
      <c r="H13" s="147">
        <f t="shared" si="1"/>
        <v>0</v>
      </c>
    </row>
    <row r="14" spans="1:8" ht="25.5">
      <c r="A14" s="56" t="s">
        <v>120</v>
      </c>
      <c r="B14" s="66" t="s">
        <v>31</v>
      </c>
      <c r="C14" s="67" t="s">
        <v>100</v>
      </c>
      <c r="D14" s="112">
        <f>D11+D12+D13</f>
        <v>3384</v>
      </c>
      <c r="E14" s="112">
        <f t="shared" ref="E14:F14" si="2">E11+E12+E13</f>
        <v>12018</v>
      </c>
      <c r="F14" s="112">
        <f t="shared" si="2"/>
        <v>10101</v>
      </c>
      <c r="G14" s="87">
        <f t="shared" si="0"/>
        <v>8634</v>
      </c>
      <c r="H14" s="149">
        <f t="shared" si="1"/>
        <v>-1917</v>
      </c>
    </row>
    <row r="15" spans="1:8" ht="25.5">
      <c r="A15" s="54" t="s">
        <v>121</v>
      </c>
      <c r="B15" s="66" t="s">
        <v>32</v>
      </c>
      <c r="C15" s="67" t="s">
        <v>100</v>
      </c>
      <c r="D15" s="112">
        <f>D10-D14</f>
        <v>47505</v>
      </c>
      <c r="E15" s="112">
        <f>E10-E14</f>
        <v>45261</v>
      </c>
      <c r="F15" s="112">
        <f>F10-F14</f>
        <v>57840</v>
      </c>
      <c r="G15" s="87">
        <f t="shared" si="0"/>
        <v>-2244</v>
      </c>
      <c r="H15" s="149">
        <f t="shared" si="1"/>
        <v>12579</v>
      </c>
    </row>
    <row r="16" spans="1:8" ht="51.75" thickBot="1">
      <c r="A16" s="55" t="s">
        <v>124</v>
      </c>
      <c r="B16" s="32" t="s">
        <v>33</v>
      </c>
      <c r="C16" s="33" t="s">
        <v>100</v>
      </c>
      <c r="D16" s="113">
        <f>D6-D15</f>
        <v>718</v>
      </c>
      <c r="E16" s="113">
        <f>E6-E15</f>
        <v>14501</v>
      </c>
      <c r="F16" s="113">
        <f>F6-F15</f>
        <v>20136</v>
      </c>
      <c r="G16" s="92">
        <f t="shared" si="0"/>
        <v>13783</v>
      </c>
      <c r="H16" s="154">
        <f>F16-E16</f>
        <v>5635</v>
      </c>
    </row>
    <row r="17" spans="1:2" ht="15.75" thickBot="1"/>
    <row r="18" spans="1:2" ht="15.75" thickBot="1">
      <c r="A18" s="152"/>
      <c r="B18" s="153" t="s">
        <v>285</v>
      </c>
    </row>
  </sheetData>
  <mergeCells count="6">
    <mergeCell ref="A1:H1"/>
    <mergeCell ref="A3:A4"/>
    <mergeCell ref="B3:B4"/>
    <mergeCell ref="C3:C4"/>
    <mergeCell ref="D3:F3"/>
    <mergeCell ref="G3:H3"/>
  </mergeCells>
  <pageMargins left="0.7" right="0.7" top="0.75" bottom="0.75" header="0.3" footer="0.3"/>
  <ignoredErrors>
    <ignoredError sqref="B6:B16" numberStoredAsText="1"/>
  </ignoredErrors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3"/>
  <sheetViews>
    <sheetView workbookViewId="0">
      <selection sqref="A1:G1"/>
    </sheetView>
  </sheetViews>
  <sheetFormatPr defaultRowHeight="15"/>
  <cols>
    <col min="1" max="1" width="38" customWidth="1"/>
    <col min="2" max="2" width="10" customWidth="1"/>
    <col min="3" max="3" width="11.5703125" bestFit="1" customWidth="1"/>
    <col min="4" max="5" width="11.42578125" bestFit="1" customWidth="1"/>
    <col min="6" max="7" width="11.7109375" customWidth="1"/>
  </cols>
  <sheetData>
    <row r="1" spans="1:7" ht="18.75">
      <c r="A1" s="339" t="s">
        <v>347</v>
      </c>
      <c r="B1" s="339"/>
      <c r="C1" s="339"/>
      <c r="D1" s="339"/>
      <c r="E1" s="339"/>
      <c r="F1" s="339"/>
      <c r="G1" s="339"/>
    </row>
    <row r="2" spans="1:7" ht="19.5" thickBot="1">
      <c r="A2" s="316" t="s">
        <v>132</v>
      </c>
      <c r="B2" s="316"/>
      <c r="C2" s="316"/>
      <c r="D2" s="316"/>
      <c r="E2" s="316"/>
      <c r="F2" s="316"/>
      <c r="G2" s="316"/>
    </row>
    <row r="3" spans="1:7" s="4" customFormat="1" ht="41.25" customHeight="1">
      <c r="A3" s="311" t="s">
        <v>0</v>
      </c>
      <c r="B3" s="313" t="s">
        <v>1</v>
      </c>
      <c r="C3" s="342" t="s">
        <v>343</v>
      </c>
      <c r="D3" s="342" t="s">
        <v>344</v>
      </c>
      <c r="E3" s="342" t="s">
        <v>345</v>
      </c>
      <c r="F3" s="340" t="s">
        <v>112</v>
      </c>
      <c r="G3" s="341"/>
    </row>
    <row r="4" spans="1:7" s="4" customFormat="1" ht="27.75" customHeight="1" thickBot="1">
      <c r="A4" s="312"/>
      <c r="B4" s="314"/>
      <c r="C4" s="343"/>
      <c r="D4" s="343"/>
      <c r="E4" s="343"/>
      <c r="F4" s="81" t="s">
        <v>348</v>
      </c>
      <c r="G4" s="142" t="s">
        <v>349</v>
      </c>
    </row>
    <row r="5" spans="1:7" ht="15" customHeight="1" thickBot="1">
      <c r="A5" s="22">
        <v>1</v>
      </c>
      <c r="B5" s="23">
        <v>2</v>
      </c>
      <c r="C5" s="23">
        <v>3</v>
      </c>
      <c r="D5" s="23">
        <v>4</v>
      </c>
      <c r="E5" s="23">
        <v>5</v>
      </c>
      <c r="F5" s="114">
        <v>6</v>
      </c>
      <c r="G5" s="114">
        <v>7</v>
      </c>
    </row>
    <row r="6" spans="1:7" ht="25.5">
      <c r="A6" s="54" t="s">
        <v>126</v>
      </c>
      <c r="B6" s="25" t="s">
        <v>23</v>
      </c>
      <c r="C6" s="120">
        <v>165144</v>
      </c>
      <c r="D6" s="120">
        <v>198872</v>
      </c>
      <c r="E6" s="120">
        <v>254129</v>
      </c>
      <c r="F6" s="127">
        <f>D6-C6</f>
        <v>33728</v>
      </c>
      <c r="G6" s="148">
        <f>E6-D6</f>
        <v>55257</v>
      </c>
    </row>
    <row r="7" spans="1:7">
      <c r="A7" s="54" t="s">
        <v>127</v>
      </c>
      <c r="B7" s="25" t="s">
        <v>24</v>
      </c>
      <c r="C7" s="26">
        <v>360</v>
      </c>
      <c r="D7" s="67">
        <v>360</v>
      </c>
      <c r="E7" s="26">
        <v>360</v>
      </c>
      <c r="F7" s="127">
        <f t="shared" ref="F7:F12" si="0">D7-C7</f>
        <v>0</v>
      </c>
      <c r="G7" s="148">
        <f t="shared" ref="G7:G12" si="1">E7-D7</f>
        <v>0</v>
      </c>
    </row>
    <row r="8" spans="1:7" ht="25.5">
      <c r="A8" s="54" t="s">
        <v>128</v>
      </c>
      <c r="B8" s="25" t="s">
        <v>25</v>
      </c>
      <c r="C8" s="190">
        <f>C6/C7</f>
        <v>458.73333333333335</v>
      </c>
      <c r="D8" s="190">
        <f>D6/D7</f>
        <v>552.42222222222222</v>
      </c>
      <c r="E8" s="190">
        <f>E6/E7</f>
        <v>705.91388888888889</v>
      </c>
      <c r="F8" s="156">
        <f>D8-C8</f>
        <v>93.688888888888869</v>
      </c>
      <c r="G8" s="157">
        <f>E8-D8</f>
        <v>153.49166666666667</v>
      </c>
    </row>
    <row r="9" spans="1:7" ht="25.5">
      <c r="A9" s="54" t="s">
        <v>296</v>
      </c>
      <c r="B9" s="25" t="s">
        <v>26</v>
      </c>
      <c r="C9" s="189">
        <v>458.73333333333335</v>
      </c>
      <c r="D9" s="189">
        <v>552.42222222222222</v>
      </c>
      <c r="E9" s="189">
        <v>705.91388888888889</v>
      </c>
      <c r="F9" s="156">
        <f t="shared" si="0"/>
        <v>93.688888888888869</v>
      </c>
      <c r="G9" s="157">
        <f t="shared" si="1"/>
        <v>153.49166666666667</v>
      </c>
    </row>
    <row r="10" spans="1:7" ht="25.5">
      <c r="A10" s="54" t="s">
        <v>129</v>
      </c>
      <c r="B10" s="25" t="s">
        <v>27</v>
      </c>
      <c r="C10" s="155">
        <f>C6/C9</f>
        <v>360</v>
      </c>
      <c r="D10" s="155">
        <f>D6/D9</f>
        <v>360</v>
      </c>
      <c r="E10" s="155">
        <f t="shared" ref="E10" si="2">E6/E9</f>
        <v>360</v>
      </c>
      <c r="F10" s="127">
        <f t="shared" si="0"/>
        <v>0</v>
      </c>
      <c r="G10" s="148">
        <f t="shared" si="1"/>
        <v>0</v>
      </c>
    </row>
    <row r="11" spans="1:7" ht="25.5">
      <c r="A11" s="54" t="s">
        <v>130</v>
      </c>
      <c r="B11" s="25" t="s">
        <v>28</v>
      </c>
      <c r="C11" s="191">
        <f>C9/C6</f>
        <v>2.7777777777777779E-3</v>
      </c>
      <c r="D11" s="191">
        <f t="shared" ref="D11:E11" si="3">D9/D6</f>
        <v>2.7777777777777779E-3</v>
      </c>
      <c r="E11" s="191">
        <f t="shared" si="3"/>
        <v>2.7777777777777779E-3</v>
      </c>
      <c r="F11" s="127">
        <f t="shared" si="0"/>
        <v>0</v>
      </c>
      <c r="G11" s="148">
        <f t="shared" si="1"/>
        <v>0</v>
      </c>
    </row>
    <row r="12" spans="1:7" ht="25.5">
      <c r="A12" s="54" t="s">
        <v>131</v>
      </c>
      <c r="B12" s="25" t="s">
        <v>29</v>
      </c>
      <c r="C12" s="192">
        <f>C9/C8</f>
        <v>1</v>
      </c>
      <c r="D12" s="192">
        <f t="shared" ref="D12:E12" si="4">D9/D8</f>
        <v>1</v>
      </c>
      <c r="E12" s="192">
        <f t="shared" si="4"/>
        <v>1</v>
      </c>
      <c r="F12" s="127">
        <f t="shared" si="0"/>
        <v>0</v>
      </c>
      <c r="G12" s="148">
        <f t="shared" si="1"/>
        <v>0</v>
      </c>
    </row>
    <row r="13" spans="1:7" ht="51.75" thickBot="1">
      <c r="A13" s="55" t="s">
        <v>288</v>
      </c>
      <c r="B13" s="32" t="s">
        <v>30</v>
      </c>
      <c r="C13" s="33" t="s">
        <v>100</v>
      </c>
      <c r="D13" s="33" t="s">
        <v>100</v>
      </c>
      <c r="E13" s="33" t="s">
        <v>100</v>
      </c>
      <c r="F13" s="127">
        <f>F12*D8</f>
        <v>0</v>
      </c>
      <c r="G13" s="148">
        <f>G12*E8</f>
        <v>0</v>
      </c>
    </row>
  </sheetData>
  <mergeCells count="8">
    <mergeCell ref="A1:G1"/>
    <mergeCell ref="F3:G3"/>
    <mergeCell ref="A3:A4"/>
    <mergeCell ref="B3:B4"/>
    <mergeCell ref="C3:C4"/>
    <mergeCell ref="D3:D4"/>
    <mergeCell ref="E3:E4"/>
    <mergeCell ref="A2:G2"/>
  </mergeCells>
  <pageMargins left="0.7" right="0.7" top="0.75" bottom="0.75" header="0.3" footer="0.3"/>
  <pageSetup paperSize="9" orientation="portrait" horizontalDpi="4294967293" verticalDpi="0" r:id="rId1"/>
  <ignoredErrors>
    <ignoredError sqref="B6:B1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A1:G19"/>
  <sheetViews>
    <sheetView topLeftCell="A22" workbookViewId="0">
      <selection activeCell="C12" sqref="C12"/>
    </sheetView>
  </sheetViews>
  <sheetFormatPr defaultRowHeight="15"/>
  <cols>
    <col min="1" max="1" width="38" customWidth="1"/>
    <col min="2" max="2" width="13.85546875" bestFit="1" customWidth="1"/>
    <col min="7" max="7" width="9.140625" customWidth="1"/>
  </cols>
  <sheetData>
    <row r="1" spans="1:7" ht="30.75" customHeight="1">
      <c r="A1" s="316" t="s">
        <v>166</v>
      </c>
      <c r="B1" s="316"/>
      <c r="C1" s="316"/>
      <c r="D1" s="316"/>
      <c r="E1" s="316"/>
      <c r="F1" s="316"/>
      <c r="G1" s="316"/>
    </row>
    <row r="2" spans="1:7" ht="15.75" thickBot="1">
      <c r="A2" s="5"/>
      <c r="B2" s="5"/>
      <c r="C2" s="5"/>
      <c r="D2" s="5"/>
      <c r="E2" s="5"/>
      <c r="F2" s="5"/>
      <c r="G2" s="5"/>
    </row>
    <row r="3" spans="1:7" s="4" customFormat="1" ht="36" customHeight="1">
      <c r="A3" s="311" t="s">
        <v>0</v>
      </c>
      <c r="B3" s="313" t="s">
        <v>1</v>
      </c>
      <c r="C3" s="344" t="s">
        <v>343</v>
      </c>
      <c r="D3" s="344" t="s">
        <v>344</v>
      </c>
      <c r="E3" s="344" t="s">
        <v>345</v>
      </c>
      <c r="F3" s="340" t="s">
        <v>112</v>
      </c>
      <c r="G3" s="341"/>
    </row>
    <row r="4" spans="1:7" s="4" customFormat="1" ht="38.25" customHeight="1" thickBot="1">
      <c r="A4" s="312"/>
      <c r="B4" s="314"/>
      <c r="C4" s="345"/>
      <c r="D4" s="345"/>
      <c r="E4" s="345"/>
      <c r="F4" s="81" t="s">
        <v>101</v>
      </c>
      <c r="G4" s="142" t="s">
        <v>102</v>
      </c>
    </row>
    <row r="5" spans="1:7" ht="15.75" thickBot="1">
      <c r="A5" s="22">
        <v>1</v>
      </c>
      <c r="B5" s="23">
        <v>2</v>
      </c>
      <c r="C5" s="118">
        <v>3</v>
      </c>
      <c r="D5" s="118">
        <v>4</v>
      </c>
      <c r="E5" s="118">
        <v>5</v>
      </c>
      <c r="F5" s="114">
        <v>6</v>
      </c>
      <c r="G5" s="135">
        <v>7</v>
      </c>
    </row>
    <row r="6" spans="1:7" ht="25.5">
      <c r="A6" s="54" t="s">
        <v>133</v>
      </c>
      <c r="B6" s="66" t="s">
        <v>23</v>
      </c>
      <c r="C6" s="120">
        <v>56040</v>
      </c>
      <c r="D6" s="120">
        <v>67201</v>
      </c>
      <c r="E6" s="120">
        <v>84081</v>
      </c>
      <c r="F6" s="136">
        <f>D6-C6</f>
        <v>11161</v>
      </c>
      <c r="G6" s="137">
        <f>E6-D6</f>
        <v>16880</v>
      </c>
    </row>
    <row r="7" spans="1:7">
      <c r="A7" s="54" t="s">
        <v>134</v>
      </c>
      <c r="B7" s="66" t="s">
        <v>24</v>
      </c>
      <c r="C7" s="120">
        <v>7817</v>
      </c>
      <c r="D7" s="120">
        <v>7439</v>
      </c>
      <c r="E7" s="120">
        <v>6105</v>
      </c>
      <c r="F7" s="136">
        <f t="shared" ref="F7:F17" si="0">D7-C7</f>
        <v>-378</v>
      </c>
      <c r="G7" s="137">
        <f t="shared" ref="G7:G17" si="1">E7-D7</f>
        <v>-1334</v>
      </c>
    </row>
    <row r="8" spans="1:7" ht="25.5">
      <c r="A8" s="54" t="s">
        <v>286</v>
      </c>
      <c r="B8" s="66" t="s">
        <v>25</v>
      </c>
      <c r="C8" s="120">
        <v>0</v>
      </c>
      <c r="D8" s="120">
        <v>0</v>
      </c>
      <c r="E8" s="120">
        <v>0</v>
      </c>
      <c r="F8" s="136">
        <f t="shared" si="0"/>
        <v>0</v>
      </c>
      <c r="G8" s="137">
        <f t="shared" si="1"/>
        <v>0</v>
      </c>
    </row>
    <row r="9" spans="1:7" ht="25.5">
      <c r="A9" s="54" t="s">
        <v>136</v>
      </c>
      <c r="B9" s="66" t="s">
        <v>26</v>
      </c>
      <c r="C9" s="112">
        <f>C6-C7-C8</f>
        <v>48223</v>
      </c>
      <c r="D9" s="112">
        <f>D6-D7-D8</f>
        <v>59762</v>
      </c>
      <c r="E9" s="112">
        <f>E6-E7-E8</f>
        <v>77976</v>
      </c>
      <c r="F9" s="136">
        <f t="shared" si="0"/>
        <v>11539</v>
      </c>
      <c r="G9" s="137">
        <f t="shared" si="1"/>
        <v>18214</v>
      </c>
    </row>
    <row r="10" spans="1:7">
      <c r="A10" s="54" t="s">
        <v>135</v>
      </c>
      <c r="B10" s="66" t="s">
        <v>27</v>
      </c>
      <c r="C10" s="120">
        <v>0</v>
      </c>
      <c r="D10" s="120">
        <v>0</v>
      </c>
      <c r="E10" s="120">
        <v>0</v>
      </c>
      <c r="F10" s="136">
        <f t="shared" si="0"/>
        <v>0</v>
      </c>
      <c r="G10" s="137">
        <f t="shared" si="1"/>
        <v>0</v>
      </c>
    </row>
    <row r="11" spans="1:7" ht="38.25">
      <c r="A11" s="54" t="s">
        <v>287</v>
      </c>
      <c r="B11" s="66" t="s">
        <v>28</v>
      </c>
      <c r="C11" s="112">
        <f>C9+C10</f>
        <v>48223</v>
      </c>
      <c r="D11" s="112">
        <f>D9+D10</f>
        <v>59762</v>
      </c>
      <c r="E11" s="112">
        <f>E9+E10</f>
        <v>77976</v>
      </c>
      <c r="F11" s="136">
        <f t="shared" si="0"/>
        <v>11539</v>
      </c>
      <c r="G11" s="137">
        <f t="shared" si="1"/>
        <v>18214</v>
      </c>
    </row>
    <row r="12" spans="1:7" ht="25.5">
      <c r="A12" s="54" t="s">
        <v>137</v>
      </c>
      <c r="B12" s="66" t="s">
        <v>29</v>
      </c>
      <c r="C12" s="120">
        <v>14133</v>
      </c>
      <c r="D12" s="120">
        <v>20427</v>
      </c>
      <c r="E12" s="120">
        <v>19338</v>
      </c>
      <c r="F12" s="136">
        <f t="shared" si="0"/>
        <v>6294</v>
      </c>
      <c r="G12" s="137">
        <f t="shared" si="1"/>
        <v>-1089</v>
      </c>
    </row>
    <row r="13" spans="1:7" ht="25.5">
      <c r="A13" s="54" t="s">
        <v>138</v>
      </c>
      <c r="B13" s="66" t="s">
        <v>30</v>
      </c>
      <c r="C13" s="112">
        <f>C11+C12</f>
        <v>62356</v>
      </c>
      <c r="D13" s="112">
        <f t="shared" ref="D13" si="2">D11+D12</f>
        <v>80189</v>
      </c>
      <c r="E13" s="112">
        <f>E11+E12</f>
        <v>97314</v>
      </c>
      <c r="F13" s="136">
        <f t="shared" si="0"/>
        <v>17833</v>
      </c>
      <c r="G13" s="137">
        <f t="shared" si="1"/>
        <v>17125</v>
      </c>
    </row>
    <row r="14" spans="1:7" ht="25.5">
      <c r="A14" s="54" t="s">
        <v>139</v>
      </c>
      <c r="B14" s="66" t="s">
        <v>31</v>
      </c>
      <c r="C14" s="120">
        <v>17398</v>
      </c>
      <c r="D14" s="120">
        <v>26594</v>
      </c>
      <c r="E14" s="120">
        <v>33976</v>
      </c>
      <c r="F14" s="136">
        <f t="shared" si="0"/>
        <v>9196</v>
      </c>
      <c r="G14" s="137">
        <f t="shared" si="1"/>
        <v>7382</v>
      </c>
    </row>
    <row r="15" spans="1:7" ht="25.5">
      <c r="A15" s="54" t="s">
        <v>140</v>
      </c>
      <c r="B15" s="66" t="s">
        <v>32</v>
      </c>
      <c r="C15" s="112">
        <f>C9-C14</f>
        <v>30825</v>
      </c>
      <c r="D15" s="112">
        <f>D9-D14</f>
        <v>33168</v>
      </c>
      <c r="E15" s="112">
        <f>E9-E14</f>
        <v>44000</v>
      </c>
      <c r="F15" s="136">
        <f t="shared" si="0"/>
        <v>2343</v>
      </c>
      <c r="G15" s="137">
        <f t="shared" si="1"/>
        <v>10832</v>
      </c>
    </row>
    <row r="16" spans="1:7" ht="38.25">
      <c r="A16" s="54" t="s">
        <v>141</v>
      </c>
      <c r="B16" s="66" t="s">
        <v>33</v>
      </c>
      <c r="C16" s="112">
        <f>C11-C14</f>
        <v>30825</v>
      </c>
      <c r="D16" s="112">
        <f>D11-D14</f>
        <v>33168</v>
      </c>
      <c r="E16" s="112">
        <f>E11-E14</f>
        <v>44000</v>
      </c>
      <c r="F16" s="136">
        <f t="shared" si="0"/>
        <v>2343</v>
      </c>
      <c r="G16" s="137">
        <f t="shared" si="1"/>
        <v>10832</v>
      </c>
    </row>
    <row r="17" spans="1:7" ht="39" thickBot="1">
      <c r="A17" s="55" t="s">
        <v>142</v>
      </c>
      <c r="B17" s="32" t="s">
        <v>34</v>
      </c>
      <c r="C17" s="113">
        <f>C13-C14</f>
        <v>44958</v>
      </c>
      <c r="D17" s="113">
        <f t="shared" ref="D17" si="3">D13-D14</f>
        <v>53595</v>
      </c>
      <c r="E17" s="113">
        <f>E13-E14</f>
        <v>63338</v>
      </c>
      <c r="F17" s="138">
        <f t="shared" si="0"/>
        <v>8637</v>
      </c>
      <c r="G17" s="139">
        <f t="shared" si="1"/>
        <v>9743</v>
      </c>
    </row>
    <row r="19" spans="1:7">
      <c r="A19" s="150"/>
      <c r="B19" s="151" t="s">
        <v>289</v>
      </c>
    </row>
  </sheetData>
  <mergeCells count="7">
    <mergeCell ref="A1:G1"/>
    <mergeCell ref="C3:C4"/>
    <mergeCell ref="D3:D4"/>
    <mergeCell ref="E3:E4"/>
    <mergeCell ref="F3:G3"/>
    <mergeCell ref="A3:A4"/>
    <mergeCell ref="B3:B4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0"/>
  <sheetViews>
    <sheetView zoomScale="115" zoomScaleNormal="115" workbookViewId="0">
      <selection sqref="A1:H1"/>
    </sheetView>
  </sheetViews>
  <sheetFormatPr defaultRowHeight="15"/>
  <cols>
    <col min="1" max="1" width="36.5703125" customWidth="1"/>
    <col min="2" max="2" width="15.5703125" customWidth="1"/>
    <col min="3" max="3" width="13.28515625" customWidth="1"/>
    <col min="4" max="6" width="6.140625" customWidth="1"/>
    <col min="7" max="8" width="8.28515625" customWidth="1"/>
  </cols>
  <sheetData>
    <row r="1" spans="1:8" ht="30.75" customHeight="1">
      <c r="A1" s="316" t="s">
        <v>143</v>
      </c>
      <c r="B1" s="316"/>
      <c r="C1" s="316"/>
      <c r="D1" s="316"/>
      <c r="E1" s="316"/>
      <c r="F1" s="316"/>
      <c r="G1" s="316"/>
      <c r="H1" s="316"/>
    </row>
    <row r="2" spans="1:8" ht="15.75" thickBot="1">
      <c r="A2" s="5"/>
      <c r="B2" s="5"/>
      <c r="C2" s="5"/>
      <c r="D2" s="5"/>
      <c r="E2" s="5"/>
      <c r="F2" s="5"/>
      <c r="G2" s="5"/>
      <c r="H2" s="5"/>
    </row>
    <row r="3" spans="1:8" s="4" customFormat="1" ht="51" customHeight="1">
      <c r="A3" s="311" t="s">
        <v>0</v>
      </c>
      <c r="B3" s="313" t="s">
        <v>144</v>
      </c>
      <c r="C3" s="342" t="s">
        <v>157</v>
      </c>
      <c r="D3" s="344">
        <v>2007</v>
      </c>
      <c r="E3" s="344">
        <v>2008</v>
      </c>
      <c r="F3" s="344">
        <v>2009</v>
      </c>
      <c r="G3" s="350" t="s">
        <v>125</v>
      </c>
      <c r="H3" s="351"/>
    </row>
    <row r="4" spans="1:8" s="4" customFormat="1" ht="51" customHeight="1" thickBot="1">
      <c r="A4" s="346"/>
      <c r="B4" s="347"/>
      <c r="C4" s="348"/>
      <c r="D4" s="349"/>
      <c r="E4" s="349"/>
      <c r="F4" s="349"/>
      <c r="G4" s="165" t="s">
        <v>101</v>
      </c>
      <c r="H4" s="166" t="s">
        <v>102</v>
      </c>
    </row>
    <row r="5" spans="1:8" ht="15.75" thickBot="1">
      <c r="A5" s="22">
        <v>1</v>
      </c>
      <c r="B5" s="23">
        <v>2</v>
      </c>
      <c r="C5" s="23">
        <v>3</v>
      </c>
      <c r="D5" s="118">
        <v>4</v>
      </c>
      <c r="E5" s="118">
        <v>5</v>
      </c>
      <c r="F5" s="118">
        <v>6</v>
      </c>
      <c r="G5" s="114">
        <v>7</v>
      </c>
      <c r="H5" s="135">
        <v>8</v>
      </c>
    </row>
    <row r="6" spans="1:8" ht="16.5">
      <c r="A6" s="57" t="s">
        <v>167</v>
      </c>
      <c r="B6" s="159" t="s">
        <v>145</v>
      </c>
      <c r="C6" s="64" t="s">
        <v>168</v>
      </c>
      <c r="D6" s="171">
        <f>56040/70172</f>
        <v>0.79860913184746052</v>
      </c>
      <c r="E6" s="171">
        <f>67201/87628</f>
        <v>0.7668895786734834</v>
      </c>
      <c r="F6" s="171">
        <f>84081/103419</f>
        <v>0.8130130827024048</v>
      </c>
      <c r="G6" s="169">
        <f>E6-D6</f>
        <v>-3.1719553173977122E-2</v>
      </c>
      <c r="H6" s="170">
        <f>F6-E6</f>
        <v>4.6123504028921403E-2</v>
      </c>
    </row>
    <row r="7" spans="1:8" ht="27">
      <c r="A7" s="54" t="s">
        <v>169</v>
      </c>
      <c r="B7" s="160" t="s">
        <v>146</v>
      </c>
      <c r="C7" s="64" t="s">
        <v>170</v>
      </c>
      <c r="D7" s="172">
        <f>14133/56040</f>
        <v>0.25219486081370451</v>
      </c>
      <c r="E7" s="172">
        <f>20427/67201</f>
        <v>0.30396869094209905</v>
      </c>
      <c r="F7" s="172">
        <f>19338/84081</f>
        <v>0.22999250722517572</v>
      </c>
      <c r="G7" s="169">
        <f t="shared" ref="G7:G10" si="0">E7-D7</f>
        <v>5.1773830128394538E-2</v>
      </c>
      <c r="H7" s="170">
        <f t="shared" ref="H7:H10" si="1">F7-E7</f>
        <v>-7.3976183716923327E-2</v>
      </c>
    </row>
    <row r="8" spans="1:8" ht="25.5">
      <c r="A8" s="54" t="s">
        <v>171</v>
      </c>
      <c r="B8" s="160" t="s">
        <v>147</v>
      </c>
      <c r="C8" s="64" t="s">
        <v>172</v>
      </c>
      <c r="D8" s="172">
        <f>(56040-7817)/56040</f>
        <v>0.86051034975017848</v>
      </c>
      <c r="E8" s="172">
        <f>(67201-7439)/67201</f>
        <v>0.88930224252615286</v>
      </c>
      <c r="F8" s="172">
        <f>(84081-6105)/84081</f>
        <v>0.92739144396474826</v>
      </c>
      <c r="G8" s="169">
        <f t="shared" si="0"/>
        <v>2.8791892775974381E-2</v>
      </c>
      <c r="H8" s="170">
        <f t="shared" si="1"/>
        <v>3.8089201438595399E-2</v>
      </c>
    </row>
    <row r="9" spans="1:8" ht="39.75">
      <c r="A9" s="54" t="s">
        <v>173</v>
      </c>
      <c r="B9" s="160" t="s">
        <v>148</v>
      </c>
      <c r="C9" s="67" t="s">
        <v>174</v>
      </c>
      <c r="D9" s="172">
        <f>(56040-7817)/62355</f>
        <v>0.77336220030470693</v>
      </c>
      <c r="E9" s="172">
        <f>(67201-7439)/80189</f>
        <v>0.74526431306039487</v>
      </c>
      <c r="F9" s="172">
        <f>(84081-6105)/97314</f>
        <v>0.80128244651334857</v>
      </c>
      <c r="G9" s="169">
        <f t="shared" si="0"/>
        <v>-2.8097887244312059E-2</v>
      </c>
      <c r="H9" s="170">
        <f t="shared" si="1"/>
        <v>5.60181334529537E-2</v>
      </c>
    </row>
    <row r="10" spans="1:8" ht="27.75" thickBot="1">
      <c r="A10" s="55" t="s">
        <v>175</v>
      </c>
      <c r="B10" s="161" t="s">
        <v>149</v>
      </c>
      <c r="C10" s="33" t="s">
        <v>176</v>
      </c>
      <c r="D10" s="173">
        <f>(7817+7386+1768)/70172</f>
        <v>0.24184860058142849</v>
      </c>
      <c r="E10" s="173">
        <f>(7439+13307+1761)/87628</f>
        <v>0.25684712648925001</v>
      </c>
      <c r="F10" s="173">
        <f>(6105+14994+2029)/103419</f>
        <v>0.22363395507595316</v>
      </c>
      <c r="G10" s="169">
        <f t="shared" si="0"/>
        <v>1.4998525907821525E-2</v>
      </c>
      <c r="H10" s="170">
        <f t="shared" si="1"/>
        <v>-3.3213171413296855E-2</v>
      </c>
    </row>
  </sheetData>
  <mergeCells count="8">
    <mergeCell ref="A1:H1"/>
    <mergeCell ref="A3:A4"/>
    <mergeCell ref="B3:B4"/>
    <mergeCell ref="C3:C4"/>
    <mergeCell ref="D3:D4"/>
    <mergeCell ref="E3:E4"/>
    <mergeCell ref="F3:F4"/>
    <mergeCell ref="G3:H3"/>
  </mergeCells>
  <pageMargins left="0.7" right="0.7" top="0.75" bottom="0.75" header="0.3" footer="0.3"/>
  <pageSetup paperSize="9" orientation="portrait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20"/>
  <sheetViews>
    <sheetView topLeftCell="A12" workbookViewId="0">
      <selection activeCell="C7" sqref="C7"/>
    </sheetView>
  </sheetViews>
  <sheetFormatPr defaultRowHeight="15"/>
  <cols>
    <col min="1" max="1" width="38" customWidth="1"/>
    <col min="2" max="3" width="9.7109375" customWidth="1"/>
    <col min="4" max="4" width="11.7109375" bestFit="1" customWidth="1"/>
    <col min="7" max="7" width="11.140625" bestFit="1" customWidth="1"/>
    <col min="8" max="8" width="12.28515625" customWidth="1"/>
  </cols>
  <sheetData>
    <row r="1" spans="1:11" ht="30.75" customHeight="1">
      <c r="A1" s="316" t="s">
        <v>150</v>
      </c>
      <c r="B1" s="316"/>
      <c r="C1" s="316"/>
      <c r="D1" s="316"/>
      <c r="E1" s="316"/>
      <c r="F1" s="316"/>
      <c r="G1" s="316"/>
      <c r="H1" s="316"/>
    </row>
    <row r="2" spans="1:11" ht="15.75" thickBot="1">
      <c r="A2" s="5"/>
      <c r="B2" s="5"/>
      <c r="C2" s="5"/>
      <c r="D2" s="5"/>
      <c r="E2" s="5"/>
      <c r="F2" s="5"/>
      <c r="G2" s="5"/>
    </row>
    <row r="3" spans="1:11" s="4" customFormat="1">
      <c r="A3" s="311" t="s">
        <v>0</v>
      </c>
      <c r="B3" s="313" t="s">
        <v>1</v>
      </c>
      <c r="C3" s="313" t="s">
        <v>2</v>
      </c>
      <c r="D3" s="344" t="s">
        <v>343</v>
      </c>
      <c r="E3" s="344" t="s">
        <v>344</v>
      </c>
      <c r="F3" s="344" t="s">
        <v>345</v>
      </c>
      <c r="G3" s="350" t="s">
        <v>125</v>
      </c>
      <c r="H3" s="351"/>
    </row>
    <row r="4" spans="1:11" s="4" customFormat="1" ht="30" customHeight="1" thickBot="1">
      <c r="A4" s="312"/>
      <c r="B4" s="314"/>
      <c r="C4" s="314"/>
      <c r="D4" s="349"/>
      <c r="E4" s="349"/>
      <c r="F4" s="349"/>
      <c r="G4" s="165" t="s">
        <v>101</v>
      </c>
      <c r="H4" s="166" t="s">
        <v>102</v>
      </c>
    </row>
    <row r="5" spans="1:11" ht="15.75" thickBot="1">
      <c r="A5" s="61">
        <v>1</v>
      </c>
      <c r="B5" s="62">
        <v>2</v>
      </c>
      <c r="C5" s="62">
        <v>3</v>
      </c>
      <c r="D5" s="168">
        <v>4</v>
      </c>
      <c r="E5" s="168">
        <v>5</v>
      </c>
      <c r="F5" s="168">
        <v>6</v>
      </c>
      <c r="G5" s="167">
        <v>7</v>
      </c>
      <c r="H5" s="174">
        <v>8</v>
      </c>
    </row>
    <row r="6" spans="1:11" ht="25.5">
      <c r="A6" s="162" t="s">
        <v>156</v>
      </c>
      <c r="B6" s="24" t="s">
        <v>23</v>
      </c>
      <c r="C6" s="163">
        <v>690</v>
      </c>
      <c r="D6" s="119">
        <v>14133</v>
      </c>
      <c r="E6" s="119">
        <v>20427</v>
      </c>
      <c r="F6" s="119">
        <v>19338</v>
      </c>
      <c r="G6" s="115">
        <f>E6-D6</f>
        <v>6294</v>
      </c>
      <c r="H6" s="137">
        <f>F6-E6</f>
        <v>-1089</v>
      </c>
    </row>
    <row r="7" spans="1:11" ht="25.5">
      <c r="A7" s="54" t="s">
        <v>151</v>
      </c>
      <c r="B7" s="66" t="s">
        <v>24</v>
      </c>
      <c r="C7" s="164">
        <v>260</v>
      </c>
      <c r="D7" s="120">
        <v>247</v>
      </c>
      <c r="E7" s="120">
        <v>3299</v>
      </c>
      <c r="F7" s="120">
        <v>3314</v>
      </c>
      <c r="G7" s="115">
        <f t="shared" ref="G7:G12" si="0">E7-D7</f>
        <v>3052</v>
      </c>
      <c r="H7" s="137">
        <f t="shared" ref="H7:H12" si="1">F7-E7</f>
        <v>15</v>
      </c>
      <c r="J7">
        <f>G7+G8+G9</f>
        <v>16566</v>
      </c>
      <c r="K7">
        <f>H7+H8+H9</f>
        <v>18682</v>
      </c>
    </row>
    <row r="8" spans="1:11" ht="25.5">
      <c r="A8" s="54" t="s">
        <v>152</v>
      </c>
      <c r="B8" s="66" t="s">
        <v>25</v>
      </c>
      <c r="C8" s="164">
        <v>240</v>
      </c>
      <c r="D8" s="120">
        <v>42568</v>
      </c>
      <c r="E8" s="120">
        <v>46886</v>
      </c>
      <c r="F8" s="120">
        <v>58171</v>
      </c>
      <c r="G8" s="115">
        <f t="shared" si="0"/>
        <v>4318</v>
      </c>
      <c r="H8" s="137">
        <f t="shared" si="1"/>
        <v>11285</v>
      </c>
    </row>
    <row r="9" spans="1:11" ht="25.5">
      <c r="A9" s="54" t="s">
        <v>153</v>
      </c>
      <c r="B9" s="66" t="s">
        <v>26</v>
      </c>
      <c r="C9" s="164">
        <v>210</v>
      </c>
      <c r="D9" s="120">
        <v>17398</v>
      </c>
      <c r="E9" s="120">
        <v>26594</v>
      </c>
      <c r="F9" s="120">
        <v>33976</v>
      </c>
      <c r="G9" s="115">
        <f>E9-D9</f>
        <v>9196</v>
      </c>
      <c r="H9" s="137">
        <f>F9-E9</f>
        <v>7382</v>
      </c>
    </row>
    <row r="10" spans="1:11" ht="25.5">
      <c r="A10" s="54" t="s">
        <v>290</v>
      </c>
      <c r="B10" s="66" t="s">
        <v>27</v>
      </c>
      <c r="C10" s="66" t="s">
        <v>100</v>
      </c>
      <c r="D10" s="175">
        <f>D7/D6</f>
        <v>1.7476827283662351E-2</v>
      </c>
      <c r="E10" s="175">
        <f>E7/E6</f>
        <v>0.1615019337151809</v>
      </c>
      <c r="F10" s="175">
        <f>F7/F6</f>
        <v>0.17137242734512359</v>
      </c>
      <c r="G10" s="158">
        <f t="shared" si="0"/>
        <v>0.14402510643151856</v>
      </c>
      <c r="H10" s="145">
        <f t="shared" si="1"/>
        <v>9.8704936299426893E-3</v>
      </c>
    </row>
    <row r="11" spans="1:11" ht="25.5">
      <c r="A11" s="54" t="s">
        <v>154</v>
      </c>
      <c r="B11" s="66" t="s">
        <v>28</v>
      </c>
      <c r="C11" s="66" t="s">
        <v>100</v>
      </c>
      <c r="D11" s="175">
        <f>(D7+D8)/D6</f>
        <v>3.029434656477747</v>
      </c>
      <c r="E11" s="175">
        <f>(E7+E8)/E6</f>
        <v>2.4567973760219317</v>
      </c>
      <c r="F11" s="175">
        <f>(F7+F8)/F6</f>
        <v>3.1794911573068569</v>
      </c>
      <c r="G11" s="158">
        <f t="shared" si="0"/>
        <v>-0.5726372804558153</v>
      </c>
      <c r="H11" s="145">
        <f t="shared" si="1"/>
        <v>0.72269378128492523</v>
      </c>
    </row>
    <row r="12" spans="1:11" ht="26.25" thickBot="1">
      <c r="A12" s="55" t="s">
        <v>155</v>
      </c>
      <c r="B12" s="32" t="s">
        <v>29</v>
      </c>
      <c r="C12" s="32" t="s">
        <v>100</v>
      </c>
      <c r="D12" s="176">
        <f>(D7+D8+D9)/D6</f>
        <v>4.2604542559966037</v>
      </c>
      <c r="E12" s="176">
        <f>(E7+E8+E9)/E6</f>
        <v>3.7587017183139961</v>
      </c>
      <c r="F12" s="176">
        <f>(F7+F8+F9)/F6</f>
        <v>4.9364463750129275</v>
      </c>
      <c r="G12" s="177">
        <f t="shared" si="0"/>
        <v>-0.50175253768260752</v>
      </c>
      <c r="H12" s="146">
        <f t="shared" si="1"/>
        <v>1.1777446566989314</v>
      </c>
    </row>
    <row r="19" spans="5:6">
      <c r="E19">
        <f>G6/D6*100</f>
        <v>44.534069199745282</v>
      </c>
      <c r="F19">
        <f>H6/E6*100</f>
        <v>-5.3311793214862675</v>
      </c>
    </row>
    <row r="20" spans="5:6">
      <c r="E20">
        <f>G9/D9*100</f>
        <v>52.856650189676976</v>
      </c>
      <c r="F20">
        <f>H9/E9*100</f>
        <v>27.758140934045272</v>
      </c>
    </row>
  </sheetData>
  <mergeCells count="8">
    <mergeCell ref="A1:H1"/>
    <mergeCell ref="D3:D4"/>
    <mergeCell ref="E3:E4"/>
    <mergeCell ref="F3:F4"/>
    <mergeCell ref="G3:H3"/>
    <mergeCell ref="A3:A4"/>
    <mergeCell ref="B3:B4"/>
    <mergeCell ref="C3:C4"/>
  </mergeCells>
  <pageMargins left="0.7" right="0.7" top="0.75" bottom="0.75" header="0.3" footer="0.3"/>
  <ignoredErrors>
    <ignoredError sqref="B6:B12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17</vt:i4>
      </vt:variant>
    </vt:vector>
  </HeadingPairs>
  <TitlesOfParts>
    <vt:vector size="17" baseType="lpstr">
      <vt:lpstr>Табл№1</vt:lpstr>
      <vt:lpstr>Табл№ 2</vt:lpstr>
      <vt:lpstr>Табл№ 3</vt:lpstr>
      <vt:lpstr>Табл№4</vt:lpstr>
      <vt:lpstr>Табл№5</vt:lpstr>
      <vt:lpstr>Табл№6</vt:lpstr>
      <vt:lpstr>Табл№7</vt:lpstr>
      <vt:lpstr>Табл№8</vt:lpstr>
      <vt:lpstr>Табл№9</vt:lpstr>
      <vt:lpstr>Табл№10</vt:lpstr>
      <vt:lpstr>Табл№11</vt:lpstr>
      <vt:lpstr>Табл№12</vt:lpstr>
      <vt:lpstr>Табл№13</vt:lpstr>
      <vt:lpstr>Табл№14</vt:lpstr>
      <vt:lpstr>расчеты</vt:lpstr>
      <vt:lpstr>смета</vt:lpstr>
      <vt:lpstr>продажи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НН</cp:lastModifiedBy>
  <dcterms:created xsi:type="dcterms:W3CDTF">2010-09-03T13:59:17Z</dcterms:created>
  <dcterms:modified xsi:type="dcterms:W3CDTF">2010-12-03T22:17:59Z</dcterms:modified>
</cp:coreProperties>
</file>